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0" windowWidth="10395" windowHeight="9210" activeTab="0"/>
  </bookViews>
  <sheets>
    <sheet name="ROI" sheetId="1" r:id="rId1"/>
    <sheet name="CostSummary" sheetId="2" r:id="rId2"/>
    <sheet name="Addone" sheetId="3" r:id="rId3"/>
    <sheet name="Base" sheetId="4" r:id="rId4"/>
  </sheets>
  <definedNames>
    <definedName name="employees">'CostSummary'!$G$5</definedName>
    <definedName name="host">'Base'!$A$19:$A$20</definedName>
    <definedName name="maintenance">'CostSummary'!$C$4</definedName>
    <definedName name="markup">'Base'!$H$18</definedName>
    <definedName name="term">'CostSummary'!$C$3</definedName>
    <definedName name="users">'CostSummary'!$C$5</definedName>
    <definedName name="users1">'Addone'!$B$4</definedName>
  </definedNames>
  <calcPr fullCalcOnLoad="1"/>
</workbook>
</file>

<file path=xl/sharedStrings.xml><?xml version="1.0" encoding="utf-8"?>
<sst xmlns="http://schemas.openxmlformats.org/spreadsheetml/2006/main" count="140" uniqueCount="103">
  <si>
    <t>Contract Term &gt;&gt;</t>
  </si>
  <si>
    <t>Price Discount Tables</t>
  </si>
  <si>
    <t>OTC server licence (not included)</t>
  </si>
  <si>
    <t>Cache Licence</t>
  </si>
  <si>
    <t>AMS Licence</t>
  </si>
  <si>
    <t>Maintenance &gt;&gt;</t>
  </si>
  <si>
    <t>loading</t>
  </si>
  <si>
    <t>Fee includes</t>
  </si>
  <si>
    <t>Maint.</t>
  </si>
  <si>
    <t>p.a. per concurrent user</t>
  </si>
  <si>
    <t>AMS Support</t>
  </si>
  <si>
    <t>p.a.</t>
  </si>
  <si>
    <r>
      <t>OR</t>
    </r>
    <r>
      <rPr>
        <b/>
        <sz val="10"/>
        <rFont val="Arial"/>
        <family val="0"/>
      </rPr>
      <t xml:space="preserve"> Discounted by</t>
    </r>
  </si>
  <si>
    <t>Disc %</t>
  </si>
  <si>
    <t>Users &gt;</t>
  </si>
  <si>
    <t>Rate Flag</t>
  </si>
  <si>
    <t>Rate #</t>
  </si>
  <si>
    <t>Index =</t>
  </si>
  <si>
    <t>Base Fee</t>
  </si>
  <si>
    <t>Net Fee</t>
  </si>
  <si>
    <t>Vol Disc%</t>
  </si>
  <si>
    <t>Month Charge per Employee</t>
  </si>
  <si>
    <t>Implementation</t>
  </si>
  <si>
    <t>OTC</t>
  </si>
  <si>
    <t>n.a.</t>
  </si>
  <si>
    <t>Hosting Option</t>
  </si>
  <si>
    <t>Yes</t>
  </si>
  <si>
    <t>No</t>
  </si>
  <si>
    <t>Client will host on their server</t>
  </si>
  <si>
    <t>AMS/MYCO will host on their server</t>
  </si>
  <si>
    <t>Select if Client to Host</t>
  </si>
  <si>
    <t>OTC per concurrent user</t>
  </si>
  <si>
    <r>
      <t>AMS-ASP Licence Fee Calculator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(change yellow boxes to calculate for your business)</t>
    </r>
  </si>
  <si>
    <t>BASE CLIENT PRICING</t>
  </si>
  <si>
    <t>p.a. per Client</t>
  </si>
  <si>
    <t>OTC per Client</t>
  </si>
  <si>
    <t>GPM</t>
  </si>
  <si>
    <t>Database Licence</t>
  </si>
  <si>
    <t>Setup Fee</t>
  </si>
  <si>
    <t>(if paid Annually)</t>
  </si>
  <si>
    <t>plus</t>
  </si>
  <si>
    <t>SUMMARY PRICING</t>
  </si>
  <si>
    <t>(payable with Contract)</t>
  </si>
  <si>
    <t>months</t>
  </si>
  <si>
    <t>Extended Support</t>
  </si>
  <si>
    <t>Implementation Assistance ** **</t>
  </si>
  <si>
    <t>All prices exclude GST and any travel costs for on-site visits</t>
  </si>
  <si>
    <t>AMS Email Support **</t>
  </si>
  <si>
    <t>AMS Hosting Fee</t>
  </si>
  <si>
    <t>GROSS PROFIT</t>
  </si>
  <si>
    <t>p.a. per Client (incl $50 @net)</t>
  </si>
  <si>
    <r>
      <t xml:space="preserve">per Month </t>
    </r>
    <r>
      <rPr>
        <b/>
        <sz val="10"/>
        <rFont val="Arial"/>
        <family val="2"/>
      </rPr>
      <t>(incl. Maint.)</t>
    </r>
  </si>
  <si>
    <t>Product Cost</t>
  </si>
  <si>
    <t>Unit Cost</t>
  </si>
  <si>
    <t>Maintenance paid out by TMP</t>
  </si>
  <si>
    <t>Extend. Support</t>
  </si>
  <si>
    <t>TOTAL GP</t>
  </si>
  <si>
    <t>Against Total Revenue of</t>
  </si>
  <si>
    <t>ANNUALISED</t>
  </si>
  <si>
    <t># of Concurrent Users &gt;&gt;</t>
  </si>
  <si>
    <t xml:space="preserve">is required for a business of up to a maximum of </t>
  </si>
  <si>
    <t xml:space="preserve">employees. </t>
  </si>
  <si>
    <r>
      <t>Note:</t>
    </r>
    <r>
      <rPr>
        <sz val="10"/>
        <rFont val="Arial"/>
        <family val="2"/>
      </rPr>
      <t xml:space="preserve"> For one more user licence add a $400 one-time set-up fee plus </t>
    </r>
  </si>
  <si>
    <t>Additional User Licence Fee Calculator</t>
  </si>
  <si>
    <t>is included within the monthly fee</t>
  </si>
  <si>
    <t>Additional Support ** **</t>
  </si>
  <si>
    <t>NOTES: Email Support is included as per the standard Contract Agreement</t>
  </si>
  <si>
    <t>(Client option)</t>
  </si>
  <si>
    <t>Rollout Assistance **</t>
  </si>
  <si>
    <t>TOTAL PRICE PACKAGE</t>
  </si>
  <si>
    <t>** ** Dependent on Client's external facilitation approach (suggest $1,000 per month)</t>
  </si>
  <si>
    <t>**     Dependent on Client self-sufficiency (suggest $4,000 total)</t>
  </si>
  <si>
    <t>(optional - for a faster start-up)</t>
  </si>
  <si>
    <t>(optional - for monthly coaching)</t>
  </si>
  <si>
    <t>Total number of full-time equivalent (FTE) employees in the busines:</t>
  </si>
  <si>
    <t>% Improve</t>
  </si>
  <si>
    <t>Job actions</t>
  </si>
  <si>
    <t>Ave.Critical</t>
  </si>
  <si>
    <t xml:space="preserve">Estimated total cost of AMS in 1st year of implementation </t>
  </si>
  <si>
    <t>$ Improve</t>
  </si>
  <si>
    <t>Concurrent</t>
  </si>
  <si>
    <t>Licenses</t>
  </si>
  <si>
    <t>Click back to ROI</t>
  </si>
  <si>
    <r>
      <t xml:space="preserve">Estimated annualised </t>
    </r>
    <r>
      <rPr>
        <b/>
        <u val="single"/>
        <sz val="10"/>
        <rFont val="Arial"/>
        <family val="2"/>
      </rPr>
      <t>Business Efficiency Improvement</t>
    </r>
  </si>
  <si>
    <r>
      <t xml:space="preserve">Estimated annualised staff </t>
    </r>
    <r>
      <rPr>
        <b/>
        <u val="single"/>
        <sz val="10"/>
        <rFont val="Arial"/>
        <family val="2"/>
      </rPr>
      <t>Productivity Improvement</t>
    </r>
  </si>
  <si>
    <t>Average annual gross salary per FTE employee:</t>
  </si>
  <si>
    <t>Salary</t>
  </si>
  <si>
    <t>Loading</t>
  </si>
  <si>
    <t>&lt;&lt;&lt; Fill in this box</t>
  </si>
  <si>
    <t xml:space="preserve">ESTIMATED TYPICAL FINANCIAL GAIN FROM AMS </t>
  </si>
  <si>
    <t>NOTES:</t>
  </si>
  <si>
    <t>2.   Estimates of financial improvements are derived from averages obtained from actual client implementations</t>
  </si>
  <si>
    <t>[Reduce this number if you wish]</t>
  </si>
  <si>
    <t>[Absolute minimum would be 10]</t>
  </si>
  <si>
    <t>&lt;&lt;&lt; 30 is typical from our experience</t>
  </si>
  <si>
    <t>Total estimated income (revenue) to the business for next 12 months:</t>
  </si>
  <si>
    <t>Number of critical high-risk Business DNA Actions identified by AMS</t>
  </si>
  <si>
    <t>1.   Typical set-up &amp; facilitation assistance of $300 per month (for 12 months) is included within the AMS cost</t>
  </si>
  <si>
    <t>3.   AMS Navigator Licence is based on total Concurrent Users and is calculated on a ratio of 1:5 of FTE staff (i.e. 15 staff requires 3 CUs)</t>
  </si>
  <si>
    <t>Please enter YOUR OWN business data (into the light blue boxes):</t>
  </si>
  <si>
    <t>ROI Estimator for AMS Implementation in your Business</t>
  </si>
  <si>
    <t xml:space="preserve">ESTIMATED ANNUAL NET RETURN FROM AMS </t>
  </si>
  <si>
    <t>(Click here to see pricing calculation)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</si>
</sst>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= &quot;&quot;$&quot;#,##0.00;\-&quot;$&quot;#,##0.00"/>
    <numFmt numFmtId="165" formatCode="#,##0.000000000000000"/>
    <numFmt numFmtId="166" formatCode="0.0%"/>
    <numFmt numFmtId="167" formatCode="0.0%&quot; =&quot;"/>
    <numFmt numFmtId="168" formatCode="#,##0.0"/>
    <numFmt numFmtId="169" formatCode="&quot;$&quot;#,##0"/>
    <numFmt numFmtId="170" formatCode="&quot;$&quot;#,##0.00;\-&quot;$&quot;#,##0.00&quot; per mth&quot;"/>
    <numFmt numFmtId="171" formatCode="&quot;$&quot;#,##0.00&quot; per mth&quot;;\-&quot;$&quot;#,##0.00&quot; per mth&quot;"/>
    <numFmt numFmtId="172" formatCode="&quot;$&quot;#,##0&quot; OTC&quot;;\-&quot;$&quot;#,##0&quot; OTC&quot;"/>
    <numFmt numFmtId="173" formatCode="&quot;$&quot;#,##0&quot; Total&quot;;\-&quot;$&quot;#,##0&quot; Total&quot;"/>
    <numFmt numFmtId="174" formatCode="&quot;$&quot;#,##0&quot; per mth&quot;;\-&quot;$&quot;#,##0&quot; per mth&quot;"/>
  </numFmts>
  <fonts count="2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0"/>
    </font>
    <font>
      <sz val="9"/>
      <color indexed="9"/>
      <name val="Arial"/>
      <family val="0"/>
    </font>
    <font>
      <b/>
      <sz val="16"/>
      <color indexed="9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40"/>
      <name val="Arial"/>
      <family val="2"/>
    </font>
    <font>
      <sz val="12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167" fontId="6" fillId="0" borderId="1" xfId="0" applyNumberFormat="1" applyFont="1" applyBorder="1" applyAlignment="1">
      <alignment horizontal="center"/>
    </xf>
    <xf numFmtId="7" fontId="6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9" fontId="3" fillId="3" borderId="9" xfId="0" applyNumberFormat="1" applyFont="1" applyFill="1" applyBorder="1" applyAlignment="1" applyProtection="1">
      <alignment/>
      <protection locked="0"/>
    </xf>
    <xf numFmtId="6" fontId="3" fillId="3" borderId="9" xfId="0" applyNumberFormat="1" applyFont="1" applyFill="1" applyBorder="1" applyAlignment="1" applyProtection="1">
      <alignment horizontal="right"/>
      <protection locked="0"/>
    </xf>
    <xf numFmtId="7" fontId="6" fillId="2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3" borderId="9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0" fontId="1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2" borderId="14" xfId="0" applyFont="1" applyFill="1" applyBorder="1" applyAlignment="1">
      <alignment horizontal="right"/>
    </xf>
    <xf numFmtId="9" fontId="0" fillId="2" borderId="0" xfId="0" applyNumberForma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 horizontal="right"/>
    </xf>
    <xf numFmtId="9" fontId="10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2" borderId="14" xfId="0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0" fillId="2" borderId="15" xfId="0" applyFill="1" applyBorder="1" applyAlignment="1">
      <alignment/>
    </xf>
    <xf numFmtId="7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7" fontId="0" fillId="2" borderId="0" xfId="0" applyNumberForma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6" fontId="3" fillId="3" borderId="9" xfId="0" applyNumberFormat="1" applyFont="1" applyFill="1" applyBorder="1" applyAlignment="1" applyProtection="1">
      <alignment horizontal="center"/>
      <protection locked="0"/>
    </xf>
    <xf numFmtId="6" fontId="3" fillId="3" borderId="19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Alignment="1">
      <alignment horizontal="center"/>
    </xf>
    <xf numFmtId="7" fontId="6" fillId="2" borderId="17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7" fontId="6" fillId="2" borderId="12" xfId="0" applyNumberFormat="1" applyFont="1" applyFill="1" applyBorder="1" applyAlignment="1">
      <alignment horizontal="center"/>
    </xf>
    <xf numFmtId="7" fontId="6" fillId="2" borderId="16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6" fontId="3" fillId="0" borderId="9" xfId="0" applyNumberFormat="1" applyFont="1" applyFill="1" applyBorder="1" applyAlignment="1" applyProtection="1">
      <alignment horizontal="right"/>
      <protection locked="0"/>
    </xf>
    <xf numFmtId="6" fontId="3" fillId="0" borderId="19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2" borderId="0" xfId="0" applyFont="1" applyFill="1" applyBorder="1" applyAlignment="1" applyProtection="1">
      <alignment horizontal="center"/>
      <protection locked="0"/>
    </xf>
    <xf numFmtId="166" fontId="10" fillId="2" borderId="0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/>
    </xf>
    <xf numFmtId="7" fontId="0" fillId="2" borderId="0" xfId="0" applyNumberForma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>
      <alignment horizontal="right"/>
    </xf>
    <xf numFmtId="0" fontId="3" fillId="2" borderId="21" xfId="0" applyFont="1" applyFill="1" applyBorder="1" applyAlignment="1" applyProtection="1">
      <alignment horizontal="center"/>
      <protection/>
    </xf>
    <xf numFmtId="166" fontId="0" fillId="2" borderId="0" xfId="0" applyNumberFormat="1" applyFont="1" applyFill="1" applyBorder="1" applyAlignment="1">
      <alignment horizontal="center"/>
    </xf>
    <xf numFmtId="7" fontId="0" fillId="2" borderId="0" xfId="0" applyNumberFormat="1" applyFont="1" applyFill="1" applyBorder="1" applyAlignment="1">
      <alignment horizontal="center"/>
    </xf>
    <xf numFmtId="7" fontId="0" fillId="2" borderId="0" xfId="0" applyNumberFormat="1" applyFon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7" fontId="0" fillId="2" borderId="9" xfId="0" applyNumberFormat="1" applyFill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left"/>
    </xf>
    <xf numFmtId="171" fontId="0" fillId="2" borderId="0" xfId="0" applyNumberFormat="1" applyFill="1" applyBorder="1" applyAlignment="1">
      <alignment horizontal="left"/>
    </xf>
    <xf numFmtId="7" fontId="5" fillId="2" borderId="0" xfId="0" applyNumberFormat="1" applyFont="1" applyFill="1" applyBorder="1" applyAlignment="1">
      <alignment horizontal="center"/>
    </xf>
    <xf numFmtId="173" fontId="0" fillId="3" borderId="9" xfId="0" applyNumberFormat="1" applyFill="1" applyBorder="1" applyAlignment="1" applyProtection="1">
      <alignment horizontal="center"/>
      <protection locked="0"/>
    </xf>
    <xf numFmtId="174" fontId="0" fillId="3" borderId="9" xfId="0" applyNumberForma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5" fontId="0" fillId="3" borderId="9" xfId="0" applyNumberFormat="1" applyFill="1" applyBorder="1" applyAlignment="1">
      <alignment horizontal="center"/>
    </xf>
    <xf numFmtId="169" fontId="0" fillId="3" borderId="9" xfId="0" applyNumberFormat="1" applyFill="1" applyBorder="1" applyAlignment="1">
      <alignment horizontal="center"/>
    </xf>
    <xf numFmtId="169" fontId="0" fillId="3" borderId="2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0" fillId="2" borderId="2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6" fontId="3" fillId="3" borderId="25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0" fontId="3" fillId="2" borderId="14" xfId="0" applyFont="1" applyFill="1" applyBorder="1" applyAlignment="1" applyProtection="1">
      <alignment horizontal="left"/>
      <protection locked="0"/>
    </xf>
    <xf numFmtId="169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12" fillId="2" borderId="0" xfId="20" applyFill="1" applyBorder="1" applyAlignment="1">
      <alignment horizontal="left"/>
    </xf>
    <xf numFmtId="0" fontId="12" fillId="2" borderId="15" xfId="2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5" borderId="1" xfId="20" applyFill="1" applyBorder="1" applyAlignment="1">
      <alignment horizontal="center"/>
    </xf>
    <xf numFmtId="0" fontId="12" fillId="5" borderId="3" xfId="2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6" fontId="3" fillId="3" borderId="19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3" fillId="0" borderId="8" xfId="0" applyNumberFormat="1" applyFont="1" applyBorder="1" applyAlignment="1">
      <alignment horizontal="center"/>
    </xf>
    <xf numFmtId="169" fontId="3" fillId="0" borderId="26" xfId="0" applyNumberFormat="1" applyFont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6" fillId="6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8" fillId="2" borderId="14" xfId="0" applyFont="1" applyFill="1" applyBorder="1" applyAlignment="1">
      <alignment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17" fillId="6" borderId="2" xfId="0" applyFont="1" applyFill="1" applyBorder="1" applyAlignment="1">
      <alignment horizontal="right"/>
    </xf>
    <xf numFmtId="0" fontId="17" fillId="6" borderId="3" xfId="0" applyFont="1" applyFill="1" applyBorder="1" applyAlignment="1">
      <alignment horizontal="right"/>
    </xf>
    <xf numFmtId="169" fontId="17" fillId="6" borderId="22" xfId="0" applyNumberFormat="1" applyFont="1" applyFill="1" applyBorder="1" applyAlignment="1">
      <alignment horizontal="center"/>
    </xf>
    <xf numFmtId="0" fontId="12" fillId="2" borderId="7" xfId="2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97"/>
  <sheetViews>
    <sheetView showRowColHeaders="0" tabSelected="1" workbookViewId="0" topLeftCell="A1">
      <selection activeCell="Q14" sqref="Q14"/>
    </sheetView>
  </sheetViews>
  <sheetFormatPr defaultColWidth="9.140625" defaultRowHeight="12.75"/>
  <cols>
    <col min="1" max="1" width="2.28125" style="5" customWidth="1"/>
    <col min="7" max="7" width="13.140625" style="0" customWidth="1"/>
    <col min="8" max="8" width="1.8515625" style="0" customWidth="1"/>
    <col min="9" max="9" width="13.57421875" style="0" customWidth="1"/>
    <col min="11" max="11" width="14.00390625" style="0" customWidth="1"/>
    <col min="13" max="13" width="10.57421875" style="0" hidden="1" customWidth="1"/>
    <col min="14" max="14" width="11.140625" style="28" hidden="1" customWidth="1"/>
    <col min="15" max="15" width="10.28125" style="28" hidden="1" customWidth="1"/>
  </cols>
  <sheetData>
    <row r="1" spans="14:15" s="5" customFormat="1" ht="13.5" thickBot="1">
      <c r="N1" s="126"/>
      <c r="O1" s="126"/>
    </row>
    <row r="2" spans="2:26" ht="21" thickBot="1">
      <c r="B2" s="149" t="s">
        <v>100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  <c r="M2" s="5"/>
      <c r="N2" s="126"/>
      <c r="O2" s="126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2.75">
      <c r="B3" s="65"/>
      <c r="C3" s="6"/>
      <c r="D3" s="6"/>
      <c r="E3" s="6"/>
      <c r="F3" s="6"/>
      <c r="G3" s="6"/>
      <c r="H3" s="6"/>
      <c r="I3" s="6"/>
      <c r="J3" s="6"/>
      <c r="K3" s="6"/>
      <c r="L3" s="59"/>
      <c r="M3" s="5"/>
      <c r="N3" s="126"/>
      <c r="O3" s="126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5.75">
      <c r="B4" s="182" t="s">
        <v>99</v>
      </c>
      <c r="C4" s="181"/>
      <c r="D4" s="181"/>
      <c r="E4" s="181"/>
      <c r="F4" s="181"/>
      <c r="G4" s="181"/>
      <c r="H4" s="143"/>
      <c r="I4" s="6"/>
      <c r="J4" s="6"/>
      <c r="K4" s="6"/>
      <c r="L4" s="59"/>
      <c r="M4" s="5"/>
      <c r="N4" s="126"/>
      <c r="O4" s="127" t="s">
        <v>80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2.75">
      <c r="B5" s="65"/>
      <c r="C5" s="6"/>
      <c r="D5" s="6"/>
      <c r="E5" s="6"/>
      <c r="F5" s="6"/>
      <c r="G5" s="6"/>
      <c r="H5" s="6"/>
      <c r="I5" s="6"/>
      <c r="J5" s="6"/>
      <c r="K5" s="6"/>
      <c r="L5" s="59"/>
      <c r="M5" s="132" t="s">
        <v>75</v>
      </c>
      <c r="N5" s="128" t="s">
        <v>79</v>
      </c>
      <c r="O5" s="129" t="s">
        <v>81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2.75">
      <c r="B6" s="65" t="s">
        <v>95</v>
      </c>
      <c r="C6" s="6"/>
      <c r="D6" s="6"/>
      <c r="E6" s="6"/>
      <c r="F6" s="6"/>
      <c r="G6" s="6"/>
      <c r="H6" s="6"/>
      <c r="I6" s="141"/>
      <c r="J6" s="6" t="s">
        <v>88</v>
      </c>
      <c r="K6" s="6"/>
      <c r="L6" s="59"/>
      <c r="M6" s="130">
        <v>0.1</v>
      </c>
      <c r="N6" s="131">
        <f>(I6*I12/125)*M6</f>
        <v>0</v>
      </c>
      <c r="O6" s="126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6" customHeight="1">
      <c r="B7" s="65"/>
      <c r="C7" s="6"/>
      <c r="D7" s="6"/>
      <c r="E7" s="6"/>
      <c r="F7" s="6"/>
      <c r="G7" s="6"/>
      <c r="H7" s="6"/>
      <c r="I7" s="6"/>
      <c r="J7" s="6"/>
      <c r="K7" s="6"/>
      <c r="L7" s="59"/>
      <c r="M7" s="5"/>
      <c r="N7" s="126"/>
      <c r="O7" s="126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2.75">
      <c r="B8" s="65" t="s">
        <v>74</v>
      </c>
      <c r="C8" s="6"/>
      <c r="D8" s="6"/>
      <c r="E8" s="6"/>
      <c r="F8" s="6"/>
      <c r="G8" s="6"/>
      <c r="H8" s="6"/>
      <c r="I8" s="142"/>
      <c r="J8" s="6" t="s">
        <v>88</v>
      </c>
      <c r="K8" s="6"/>
      <c r="L8" s="59"/>
      <c r="M8" s="130">
        <v>0.1</v>
      </c>
      <c r="N8" s="131">
        <f>(1+N12)*(I8*I10*M12/25)*M8</f>
        <v>0</v>
      </c>
      <c r="O8" s="126">
        <f>ROUND(I8/5,0)</f>
        <v>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6" customHeight="1">
      <c r="B9" s="65"/>
      <c r="C9" s="6"/>
      <c r="D9" s="6"/>
      <c r="E9" s="6"/>
      <c r="F9" s="6"/>
      <c r="G9" s="6"/>
      <c r="H9" s="6"/>
      <c r="I9" s="6"/>
      <c r="J9" s="6"/>
      <c r="K9" s="6"/>
      <c r="L9" s="59"/>
      <c r="M9" s="5"/>
      <c r="N9" s="126"/>
      <c r="O9" s="126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2.75">
      <c r="B10" s="65" t="s">
        <v>85</v>
      </c>
      <c r="C10" s="6"/>
      <c r="D10" s="6"/>
      <c r="E10" s="6"/>
      <c r="F10" s="6"/>
      <c r="G10" s="6"/>
      <c r="H10" s="6"/>
      <c r="I10" s="141"/>
      <c r="J10" s="6" t="s">
        <v>88</v>
      </c>
      <c r="K10" s="6"/>
      <c r="L10" s="59"/>
      <c r="M10" s="133" t="s">
        <v>77</v>
      </c>
      <c r="N10" s="127" t="s">
        <v>86</v>
      </c>
      <c r="O10" s="126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2.75">
      <c r="B11" s="65"/>
      <c r="C11" s="6"/>
      <c r="D11" s="6"/>
      <c r="E11" s="6"/>
      <c r="F11" s="6"/>
      <c r="G11" s="6"/>
      <c r="H11" s="6"/>
      <c r="I11" s="6"/>
      <c r="J11" s="6"/>
      <c r="K11" s="6"/>
      <c r="L11" s="59"/>
      <c r="M11" s="134" t="s">
        <v>76</v>
      </c>
      <c r="N11" s="129" t="s">
        <v>87</v>
      </c>
      <c r="O11" s="12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2.75">
      <c r="B12" s="65" t="s">
        <v>96</v>
      </c>
      <c r="C12" s="6"/>
      <c r="D12" s="6"/>
      <c r="E12" s="6"/>
      <c r="F12" s="6"/>
      <c r="G12" s="6"/>
      <c r="H12" s="6"/>
      <c r="I12" s="142">
        <v>30</v>
      </c>
      <c r="J12" s="146" t="s">
        <v>94</v>
      </c>
      <c r="K12" s="147"/>
      <c r="L12" s="148"/>
      <c r="M12" s="126">
        <v>6</v>
      </c>
      <c r="N12" s="130">
        <v>0.35</v>
      </c>
      <c r="O12" s="12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2.75">
      <c r="B13" s="65"/>
      <c r="C13" s="6"/>
      <c r="D13" s="6"/>
      <c r="E13" s="6"/>
      <c r="F13" s="6"/>
      <c r="G13" s="6"/>
      <c r="H13" s="6"/>
      <c r="I13" s="6"/>
      <c r="J13" s="6" t="s">
        <v>92</v>
      </c>
      <c r="K13" s="6"/>
      <c r="L13" s="59"/>
      <c r="M13" s="5"/>
      <c r="N13" s="126"/>
      <c r="O13" s="12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2.75">
      <c r="B14" s="65"/>
      <c r="C14" s="6"/>
      <c r="D14" s="6"/>
      <c r="E14" s="6"/>
      <c r="F14" s="6"/>
      <c r="G14" s="6"/>
      <c r="H14" s="6"/>
      <c r="I14" s="6"/>
      <c r="J14" s="6" t="s">
        <v>93</v>
      </c>
      <c r="K14" s="6"/>
      <c r="L14" s="59"/>
      <c r="M14" s="5"/>
      <c r="N14" s="126"/>
      <c r="O14" s="12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2.75">
      <c r="B15" s="65"/>
      <c r="C15" s="6"/>
      <c r="D15" s="6"/>
      <c r="E15" s="6"/>
      <c r="F15" s="6"/>
      <c r="G15" s="6"/>
      <c r="H15" s="6"/>
      <c r="I15" s="6"/>
      <c r="J15" s="6"/>
      <c r="K15" s="6"/>
      <c r="L15" s="59"/>
      <c r="M15" s="5"/>
      <c r="N15" s="126"/>
      <c r="O15" s="12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2.75">
      <c r="B16" s="65"/>
      <c r="C16" s="6"/>
      <c r="D16" s="6"/>
      <c r="E16" s="6"/>
      <c r="F16" s="6"/>
      <c r="G16" s="135" t="s">
        <v>83</v>
      </c>
      <c r="H16" s="135"/>
      <c r="I16" s="124">
        <f>IF(N6=0,"",N6)</f>
      </c>
      <c r="J16" s="6"/>
      <c r="K16" s="6"/>
      <c r="L16" s="59"/>
      <c r="M16" s="5"/>
      <c r="N16" s="126"/>
      <c r="O16" s="12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2.75">
      <c r="B17" s="65"/>
      <c r="C17" s="6"/>
      <c r="D17" s="6"/>
      <c r="E17" s="6"/>
      <c r="F17" s="6"/>
      <c r="G17" s="135"/>
      <c r="H17" s="135"/>
      <c r="I17" s="6"/>
      <c r="J17" s="6"/>
      <c r="K17" s="6"/>
      <c r="L17" s="59"/>
      <c r="M17" s="5"/>
      <c r="N17" s="126"/>
      <c r="O17" s="12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2.75">
      <c r="B18" s="65"/>
      <c r="C18" s="6"/>
      <c r="D18" s="6"/>
      <c r="E18" s="6"/>
      <c r="F18" s="6"/>
      <c r="G18" s="135" t="s">
        <v>84</v>
      </c>
      <c r="H18" s="135"/>
      <c r="I18" s="124">
        <f>IF(N8=0,"",N8)</f>
      </c>
      <c r="J18" s="6"/>
      <c r="K18" s="6"/>
      <c r="L18" s="59"/>
      <c r="M18" s="5"/>
      <c r="N18" s="126"/>
      <c r="O18" s="12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3.5" thickBot="1">
      <c r="B19" s="65"/>
      <c r="C19" s="6"/>
      <c r="D19" s="6"/>
      <c r="E19" s="6"/>
      <c r="F19" s="6"/>
      <c r="G19" s="6"/>
      <c r="H19" s="6"/>
      <c r="I19" s="6"/>
      <c r="J19" s="6"/>
      <c r="K19" s="6"/>
      <c r="L19" s="59"/>
      <c r="M19" s="5"/>
      <c r="N19" s="126"/>
      <c r="O19" s="12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3.5" thickBot="1">
      <c r="B20" s="65"/>
      <c r="C20" s="176"/>
      <c r="D20" s="177"/>
      <c r="E20" s="177"/>
      <c r="F20" s="177"/>
      <c r="G20" s="179" t="s">
        <v>89</v>
      </c>
      <c r="H20" s="136"/>
      <c r="I20" s="125">
        <f>IF(SUM(I16)+SUM(I18)=0,"",SUM(I16)+SUM(I18))</f>
      </c>
      <c r="J20" s="6"/>
      <c r="K20" s="6"/>
      <c r="L20" s="59"/>
      <c r="M20" s="5"/>
      <c r="N20" s="126"/>
      <c r="O20" s="12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2.75">
      <c r="B21" s="65"/>
      <c r="C21" s="6"/>
      <c r="D21" s="6"/>
      <c r="E21" s="6"/>
      <c r="F21" s="6"/>
      <c r="G21" s="6"/>
      <c r="H21" s="6"/>
      <c r="I21" s="6"/>
      <c r="J21" s="6"/>
      <c r="K21" s="6"/>
      <c r="L21" s="59"/>
      <c r="M21" s="5"/>
      <c r="N21" s="126"/>
      <c r="O21" s="12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2.75">
      <c r="B22" s="65"/>
      <c r="C22" s="6"/>
      <c r="D22" s="6"/>
      <c r="E22" s="6"/>
      <c r="F22" s="6"/>
      <c r="G22" s="135" t="s">
        <v>78</v>
      </c>
      <c r="H22" s="135"/>
      <c r="I22" s="123">
        <f>IF(I8=0,"",CostSummary!D14+CostSummary!D18+(CostSummary!D19*term))</f>
      </c>
      <c r="J22" s="188" t="s">
        <v>102</v>
      </c>
      <c r="K22" s="144"/>
      <c r="L22" s="145"/>
      <c r="M22" s="5"/>
      <c r="N22" s="126"/>
      <c r="O22" s="12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3.5" thickBot="1">
      <c r="B23" s="65"/>
      <c r="C23" s="6"/>
      <c r="D23" s="6"/>
      <c r="E23" s="6"/>
      <c r="F23" s="6"/>
      <c r="G23" s="6"/>
      <c r="H23" s="6"/>
      <c r="I23" s="6"/>
      <c r="J23" s="6"/>
      <c r="K23" s="137"/>
      <c r="L23" s="59"/>
      <c r="M23" s="5"/>
      <c r="N23" s="126"/>
      <c r="O23" s="12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6.5" thickBot="1">
      <c r="B24" s="178"/>
      <c r="C24" s="183"/>
      <c r="D24" s="184"/>
      <c r="E24" s="184"/>
      <c r="F24" s="184"/>
      <c r="G24" s="185" t="s">
        <v>101</v>
      </c>
      <c r="H24" s="186"/>
      <c r="I24" s="187">
        <f>IF(SUM(I20)-SUM(I22)=0,"",SUM(I20)-SUM(I22))</f>
      </c>
      <c r="J24" s="6"/>
      <c r="K24" s="6"/>
      <c r="L24" s="59"/>
      <c r="M24" s="5"/>
      <c r="N24" s="126"/>
      <c r="O24" s="12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2.75">
      <c r="B25" s="65"/>
      <c r="C25" s="6"/>
      <c r="D25" s="6"/>
      <c r="E25" s="6"/>
      <c r="F25" s="6"/>
      <c r="G25" s="6"/>
      <c r="H25" s="6"/>
      <c r="I25" s="6"/>
      <c r="J25" s="6"/>
      <c r="K25" s="6"/>
      <c r="L25" s="59"/>
      <c r="M25" s="5"/>
      <c r="N25" s="126"/>
      <c r="O25" s="12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2.75">
      <c r="B26" s="175" t="s">
        <v>90</v>
      </c>
      <c r="C26" s="172" t="s">
        <v>97</v>
      </c>
      <c r="D26" s="172"/>
      <c r="E26" s="172"/>
      <c r="F26" s="172"/>
      <c r="G26" s="172"/>
      <c r="H26" s="172"/>
      <c r="I26" s="172"/>
      <c r="J26" s="172"/>
      <c r="K26" s="172"/>
      <c r="L26" s="59"/>
      <c r="M26" s="5"/>
      <c r="N26" s="126"/>
      <c r="O26" s="12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2.75">
      <c r="B27" s="171"/>
      <c r="C27" s="172" t="s">
        <v>91</v>
      </c>
      <c r="D27" s="172"/>
      <c r="E27" s="172"/>
      <c r="F27" s="172"/>
      <c r="G27" s="172"/>
      <c r="H27" s="172"/>
      <c r="I27" s="172"/>
      <c r="J27" s="172"/>
      <c r="K27" s="172"/>
      <c r="L27" s="59"/>
      <c r="M27" s="5"/>
      <c r="N27" s="126"/>
      <c r="O27" s="12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2.75">
      <c r="B28" s="171"/>
      <c r="C28" s="172" t="s">
        <v>98</v>
      </c>
      <c r="D28" s="172"/>
      <c r="E28" s="172"/>
      <c r="F28" s="172"/>
      <c r="G28" s="172"/>
      <c r="H28" s="172"/>
      <c r="I28" s="172"/>
      <c r="J28" s="172"/>
      <c r="K28" s="172"/>
      <c r="L28" s="180"/>
      <c r="M28" s="5"/>
      <c r="N28" s="126"/>
      <c r="O28" s="12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3.5" thickBot="1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68"/>
      <c r="M29" s="5"/>
      <c r="N29" s="126"/>
      <c r="O29" s="12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2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26"/>
      <c r="O31" s="12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26"/>
      <c r="O32" s="12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26"/>
      <c r="O33" s="12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26"/>
      <c r="O34" s="12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6"/>
      <c r="O35" s="12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26"/>
      <c r="O36" s="12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26"/>
      <c r="O37" s="12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26"/>
      <c r="O38" s="12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26"/>
      <c r="O39" s="12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26"/>
      <c r="O40" s="12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26"/>
      <c r="O41" s="12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26"/>
      <c r="O42" s="12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26"/>
      <c r="O43" s="12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26"/>
      <c r="O44" s="12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26"/>
      <c r="O45" s="12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26"/>
      <c r="O46" s="12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26"/>
      <c r="O47" s="12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26"/>
      <c r="O48" s="12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2:26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26"/>
      <c r="O49" s="12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26"/>
      <c r="O50" s="12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26"/>
      <c r="O51" s="12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26"/>
      <c r="O52" s="12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26"/>
      <c r="O53" s="12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26"/>
      <c r="O54" s="12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26"/>
      <c r="O55" s="12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26"/>
      <c r="O56" s="12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26"/>
      <c r="O57" s="12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26"/>
      <c r="O58" s="126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26"/>
      <c r="O59" s="12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26"/>
      <c r="O60" s="12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26"/>
      <c r="O61" s="12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26"/>
      <c r="O62" s="12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26"/>
      <c r="O63" s="12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26"/>
      <c r="O64" s="12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26"/>
      <c r="O65" s="12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26"/>
      <c r="O66" s="12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26"/>
      <c r="O67" s="12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26"/>
      <c r="O68" s="126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26"/>
      <c r="O69" s="126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26"/>
      <c r="O70" s="12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26"/>
      <c r="O71" s="126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26"/>
      <c r="O72" s="126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26"/>
      <c r="O73" s="126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26"/>
      <c r="O74" s="126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26"/>
      <c r="O75" s="126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26"/>
      <c r="O76" s="126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26"/>
      <c r="O77" s="12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26"/>
      <c r="O78" s="126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26"/>
      <c r="O79" s="126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26"/>
      <c r="O80" s="126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26"/>
      <c r="O81" s="12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26"/>
      <c r="O82" s="12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26"/>
      <c r="O83" s="126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26"/>
      <c r="O84" s="12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26"/>
      <c r="O85" s="126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26"/>
      <c r="O86" s="12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26"/>
      <c r="O87" s="12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26"/>
      <c r="O88" s="126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26"/>
      <c r="O89" s="12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26"/>
      <c r="O90" s="126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26"/>
      <c r="O91" s="126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26"/>
      <c r="O92" s="12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26"/>
      <c r="O93" s="12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26"/>
      <c r="O94" s="126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26"/>
      <c r="O95" s="12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26"/>
      <c r="O96" s="12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26"/>
      <c r="O97" s="12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26"/>
      <c r="O98" s="12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26"/>
      <c r="O99" s="12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26"/>
      <c r="O100" s="12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26"/>
      <c r="O101" s="12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26"/>
      <c r="O102" s="12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26"/>
      <c r="O103" s="126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26"/>
      <c r="O104" s="126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26"/>
      <c r="O105" s="12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26"/>
      <c r="O106" s="12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26"/>
      <c r="O107" s="12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26"/>
      <c r="O108" s="12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26"/>
      <c r="O109" s="126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26"/>
      <c r="O110" s="126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26"/>
      <c r="O111" s="126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26"/>
      <c r="O112" s="12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26"/>
      <c r="O113" s="12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26"/>
      <c r="O114" s="12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26"/>
      <c r="O115" s="12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26"/>
      <c r="O116" s="12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26"/>
      <c r="O117" s="126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26"/>
      <c r="O118" s="126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26"/>
      <c r="O119" s="12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26"/>
      <c r="O120" s="126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26"/>
      <c r="O121" s="126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26"/>
      <c r="O122" s="12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26"/>
      <c r="O123" s="126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26"/>
      <c r="O124" s="126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26"/>
      <c r="O125" s="126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26"/>
      <c r="O126" s="126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26"/>
      <c r="O127" s="126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26"/>
      <c r="O128" s="126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26"/>
      <c r="O129" s="126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26"/>
      <c r="O130" s="126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26"/>
      <c r="O131" s="126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26"/>
      <c r="O132" s="126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26"/>
      <c r="O133" s="126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26"/>
      <c r="O134" s="126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26"/>
      <c r="O135" s="126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26"/>
      <c r="O136" s="12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26"/>
      <c r="O137" s="12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26"/>
      <c r="O138" s="126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26"/>
      <c r="O139" s="126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26"/>
      <c r="O140" s="126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26"/>
      <c r="O141" s="126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26"/>
      <c r="O142" s="12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26"/>
      <c r="O143" s="12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26"/>
      <c r="O144" s="126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26"/>
      <c r="O145" s="12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126"/>
      <c r="O146" s="126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26"/>
      <c r="O147" s="12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26"/>
      <c r="O148" s="126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126"/>
      <c r="O149" s="126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26"/>
      <c r="O150" s="126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26"/>
      <c r="O151" s="126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26"/>
      <c r="O152" s="126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26"/>
      <c r="O153" s="126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26"/>
      <c r="O154" s="12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26"/>
      <c r="O155" s="12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26"/>
      <c r="O156" s="126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26"/>
      <c r="O157" s="12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26"/>
      <c r="O158" s="126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26"/>
      <c r="O159" s="12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26"/>
      <c r="O160" s="126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26"/>
      <c r="O161" s="126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26"/>
      <c r="O162" s="12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26"/>
      <c r="O163" s="126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26"/>
      <c r="O164" s="12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26"/>
      <c r="O165" s="12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126"/>
      <c r="O166" s="12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126"/>
      <c r="O167" s="126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126"/>
      <c r="O168" s="126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126"/>
      <c r="O169" s="12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26"/>
      <c r="O170" s="12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26"/>
      <c r="O171" s="12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26"/>
      <c r="O172" s="12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26"/>
      <c r="O173" s="12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26"/>
      <c r="O174" s="126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26"/>
      <c r="O175" s="12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26"/>
      <c r="O176" s="12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26"/>
      <c r="O177" s="126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26"/>
      <c r="O178" s="126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26"/>
      <c r="O179" s="126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26"/>
      <c r="O180" s="126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26"/>
      <c r="O181" s="126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26"/>
      <c r="O182" s="126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26"/>
      <c r="O183" s="126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26"/>
      <c r="O184" s="126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26"/>
      <c r="O185" s="126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126"/>
      <c r="O186" s="126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26"/>
      <c r="O187" s="126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26"/>
      <c r="O188" s="126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26"/>
      <c r="O189" s="126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126"/>
      <c r="O190" s="126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26"/>
      <c r="O191" s="12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26"/>
      <c r="O192" s="126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26"/>
      <c r="O193" s="126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26"/>
      <c r="O194" s="126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26"/>
      <c r="O195" s="126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26"/>
      <c r="O196" s="12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26"/>
      <c r="O197" s="126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26"/>
      <c r="O198" s="126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26"/>
      <c r="O199" s="126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26"/>
      <c r="O200" s="126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26"/>
      <c r="O201" s="126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26"/>
      <c r="O202" s="126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26"/>
      <c r="O203" s="126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26"/>
      <c r="O204" s="126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26"/>
      <c r="O205" s="126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2:2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26"/>
      <c r="O206" s="126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2:2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26"/>
      <c r="O207" s="126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2:2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26"/>
      <c r="O208" s="12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2:2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26"/>
      <c r="O209" s="126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2:2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26"/>
      <c r="O210" s="126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2:2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26"/>
      <c r="O211" s="126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2:2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26"/>
      <c r="O212" s="126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2:2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26"/>
      <c r="O213" s="126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2:2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26"/>
      <c r="O214" s="126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2:2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26"/>
      <c r="O215" s="126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2:2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26"/>
      <c r="O216" s="126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2:2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26"/>
      <c r="O217" s="126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2:2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26"/>
      <c r="O218" s="126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2:2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26"/>
      <c r="O219" s="126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2:2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26"/>
      <c r="O220" s="126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2:2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26"/>
      <c r="O221" s="126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2:2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26"/>
      <c r="O222" s="126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2:2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26"/>
      <c r="O223" s="126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2:2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26"/>
      <c r="O224" s="126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2:2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26"/>
      <c r="O225" s="126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2:2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26"/>
      <c r="O226" s="126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2:2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26"/>
      <c r="O227" s="126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2:2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26"/>
      <c r="O228" s="126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2:2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26"/>
      <c r="O229" s="126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2:2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26"/>
      <c r="O230" s="126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2:2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26"/>
      <c r="O231" s="126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2:26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26"/>
      <c r="O232" s="126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2:26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26"/>
      <c r="O233" s="126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2:26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26"/>
      <c r="O234" s="126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2:26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26"/>
      <c r="O235" s="126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2:26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26"/>
      <c r="O236" s="126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2:26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26"/>
      <c r="O237" s="126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2:26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26"/>
      <c r="O238" s="126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2:26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26"/>
      <c r="O239" s="126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2:26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26"/>
      <c r="O240" s="126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2:26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26"/>
      <c r="O241" s="126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2:26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26"/>
      <c r="O242" s="126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2:26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26"/>
      <c r="O243" s="126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2:26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26"/>
      <c r="O244" s="126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2:26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26"/>
      <c r="O245" s="126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2:26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26"/>
      <c r="O246" s="126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2:26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26"/>
      <c r="O247" s="126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2:26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26"/>
      <c r="O248" s="126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2:26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26"/>
      <c r="O249" s="126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2:26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26"/>
      <c r="O250" s="126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2:26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26"/>
      <c r="O251" s="126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2:26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26"/>
      <c r="O252" s="126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2:26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26"/>
      <c r="O253" s="126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2:26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26"/>
      <c r="O254" s="126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2:26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26"/>
      <c r="O255" s="126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2:26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26"/>
      <c r="O256" s="126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2:26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26"/>
      <c r="O257" s="126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2:26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26"/>
      <c r="O258" s="126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2:26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26"/>
      <c r="O259" s="126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2:26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26"/>
      <c r="O260" s="126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2:26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26"/>
      <c r="O261" s="126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2:26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26"/>
      <c r="O262" s="126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2:26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26"/>
      <c r="O263" s="126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2:26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26"/>
      <c r="O264" s="126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2:26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26"/>
      <c r="O265" s="126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2:26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26"/>
      <c r="O266" s="126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2:26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26"/>
      <c r="O267" s="126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2:26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26"/>
      <c r="O268" s="126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2:26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26"/>
      <c r="O269" s="126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2:26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26"/>
      <c r="O270" s="126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2:26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26"/>
      <c r="O271" s="126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2:26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26"/>
      <c r="O272" s="126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2:26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26"/>
      <c r="O273" s="126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2:26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26"/>
      <c r="O274" s="126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2:26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26"/>
      <c r="O275" s="126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2:26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26"/>
      <c r="O276" s="126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2:26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26"/>
      <c r="O277" s="126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2:26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26"/>
      <c r="O278" s="126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2:26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26"/>
      <c r="O279" s="126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2:26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26"/>
      <c r="O280" s="126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2:26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26"/>
      <c r="O281" s="126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2:26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26"/>
      <c r="O282" s="126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2:26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26"/>
      <c r="O283" s="126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2:26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26"/>
      <c r="O284" s="126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2:26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26"/>
      <c r="O285" s="126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2:26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26"/>
      <c r="O286" s="126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2:26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26"/>
      <c r="O287" s="126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2:26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26"/>
      <c r="O288" s="126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2:26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26"/>
      <c r="O289" s="126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2:26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26"/>
      <c r="O290" s="126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2:26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26"/>
      <c r="O291" s="126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2:26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26"/>
      <c r="O292" s="126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2:26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26"/>
      <c r="O293" s="126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2:26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26"/>
      <c r="O294" s="126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2:26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26"/>
      <c r="O295" s="126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2:26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26"/>
      <c r="O296" s="126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2:26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26"/>
      <c r="O297" s="126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2:26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26"/>
      <c r="O298" s="126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2:26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26"/>
      <c r="O299" s="126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2:26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26"/>
      <c r="O300" s="126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2:26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26"/>
      <c r="O301" s="126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2:26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26"/>
      <c r="O302" s="126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2:26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26"/>
      <c r="O303" s="126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2:26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26"/>
      <c r="O304" s="126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2:26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26"/>
      <c r="O305" s="126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2:26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26"/>
      <c r="O306" s="126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2:26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26"/>
      <c r="O307" s="126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2:26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26"/>
      <c r="O308" s="126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2:26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26"/>
      <c r="O309" s="126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2:26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26"/>
      <c r="O310" s="126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2:26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26"/>
      <c r="O311" s="126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2:26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26"/>
      <c r="O312" s="126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2:26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26"/>
      <c r="O313" s="126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2:26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26"/>
      <c r="O314" s="126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2:26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26"/>
      <c r="O315" s="126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2:26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26"/>
      <c r="O316" s="126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2:26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26"/>
      <c r="O317" s="126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2:26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26"/>
      <c r="O318" s="126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2:26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26"/>
      <c r="O319" s="126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2:26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26"/>
      <c r="O320" s="126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2:26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26"/>
      <c r="O321" s="126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2:26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26"/>
      <c r="O322" s="126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2:26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26"/>
      <c r="O323" s="126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2:26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26"/>
      <c r="O324" s="126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2:26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26"/>
      <c r="O325" s="126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2:26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26"/>
      <c r="O326" s="126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2:26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26"/>
      <c r="O327" s="126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2:26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26"/>
      <c r="O328" s="126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2:26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26"/>
      <c r="O329" s="126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2:26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26"/>
      <c r="O330" s="126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2:26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26"/>
      <c r="O331" s="126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2:26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26"/>
      <c r="O332" s="126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2:26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26"/>
      <c r="O333" s="126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2:26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26"/>
      <c r="O334" s="126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2:26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26"/>
      <c r="O335" s="126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2:26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26"/>
      <c r="O336" s="126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2:26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26"/>
      <c r="O337" s="126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2:26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26"/>
      <c r="O338" s="126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2:26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26"/>
      <c r="O339" s="126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2:26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26"/>
      <c r="O340" s="126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2:26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26"/>
      <c r="O341" s="126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2:26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26"/>
      <c r="O342" s="126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2:26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26"/>
      <c r="O343" s="126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2:26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26"/>
      <c r="O344" s="126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2:26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26"/>
      <c r="O345" s="126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2:26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26"/>
      <c r="O346" s="126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2:26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26"/>
      <c r="O347" s="126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2:26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26"/>
      <c r="O348" s="126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26"/>
      <c r="O349" s="126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2:26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26"/>
      <c r="O350" s="126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2:26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26"/>
      <c r="O351" s="126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2:26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26"/>
      <c r="O352" s="126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2:26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26"/>
      <c r="O353" s="126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2:26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26"/>
      <c r="O354" s="126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2:26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26"/>
      <c r="O355" s="126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2:26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26"/>
      <c r="O356" s="126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2:26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26"/>
      <c r="O357" s="126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2:26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26"/>
      <c r="O358" s="126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2:26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26"/>
      <c r="O359" s="126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2:26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26"/>
      <c r="O360" s="126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2:26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26"/>
      <c r="O361" s="126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2:26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26"/>
      <c r="O362" s="126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2:26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26"/>
      <c r="O363" s="126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2:26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26"/>
      <c r="O364" s="126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2:26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26"/>
      <c r="O365" s="126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2:26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26"/>
      <c r="O366" s="126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2:26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26"/>
      <c r="O367" s="126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2:26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26"/>
      <c r="O368" s="126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2:26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26"/>
      <c r="O369" s="126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2:26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26"/>
      <c r="O370" s="126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2:26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26"/>
      <c r="O371" s="126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2:26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26"/>
      <c r="O372" s="126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2:26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26"/>
      <c r="O373" s="126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2:26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26"/>
      <c r="O374" s="126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2:26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26"/>
      <c r="O375" s="126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2:26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26"/>
      <c r="O376" s="126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2:26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26"/>
      <c r="O377" s="126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2:26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26"/>
      <c r="O378" s="126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2:26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26"/>
      <c r="O379" s="126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2:26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26"/>
      <c r="O380" s="126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2:26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26"/>
      <c r="O381" s="126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2:26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26"/>
      <c r="O382" s="126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2:26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26"/>
      <c r="O383" s="126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2:26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26"/>
      <c r="O384" s="126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2:26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26"/>
      <c r="O385" s="126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26"/>
      <c r="O386" s="126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2:26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26"/>
      <c r="O387" s="126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2:26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26"/>
      <c r="O388" s="126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2:26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26"/>
      <c r="O389" s="126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2:26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26"/>
      <c r="O390" s="126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2:26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26"/>
      <c r="O391" s="126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2:26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26"/>
      <c r="O392" s="126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2:26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26"/>
      <c r="O393" s="126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2:26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26"/>
      <c r="O394" s="126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2:26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26"/>
      <c r="O395" s="126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2:26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26"/>
      <c r="O396" s="126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2:26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26"/>
      <c r="O397" s="126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2:26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26"/>
      <c r="O398" s="126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2:26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26"/>
      <c r="O399" s="126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2:26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26"/>
      <c r="O400" s="126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2:26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26"/>
      <c r="O401" s="126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2:26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26"/>
      <c r="O402" s="126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2:26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26"/>
      <c r="O403" s="126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2:26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26"/>
      <c r="O404" s="126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2:26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26"/>
      <c r="O405" s="12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2:26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26"/>
      <c r="O406" s="126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2:26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26"/>
      <c r="O407" s="126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2:26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26"/>
      <c r="O408" s="126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2:26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26"/>
      <c r="O409" s="126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2:26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26"/>
      <c r="O410" s="126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2:26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26"/>
      <c r="O411" s="126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2:26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26"/>
      <c r="O412" s="126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2:26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26"/>
      <c r="O413" s="126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2:26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26"/>
      <c r="O414" s="126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2:26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26"/>
      <c r="O415" s="126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2:26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26"/>
      <c r="O416" s="126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2:26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26"/>
      <c r="O417" s="126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2:26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26"/>
      <c r="O418" s="126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2:26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26"/>
      <c r="O419" s="126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2:26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26"/>
      <c r="O420" s="126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2:26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26"/>
      <c r="O421" s="126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2:26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26"/>
      <c r="O422" s="126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2:26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26"/>
      <c r="O423" s="126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2:26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26"/>
      <c r="O424" s="126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2:26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26"/>
      <c r="O425" s="126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2:26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26"/>
      <c r="O426" s="126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2:26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26"/>
      <c r="O427" s="126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2:26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26"/>
      <c r="O428" s="126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2:26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26"/>
      <c r="O429" s="126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2:26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26"/>
      <c r="O430" s="126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2:26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26"/>
      <c r="O431" s="126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2:26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26"/>
      <c r="O432" s="126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2:26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26"/>
      <c r="O433" s="126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2:26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26"/>
      <c r="O434" s="126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2:26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26"/>
      <c r="O435" s="126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2:26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26"/>
      <c r="O436" s="126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2:26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26"/>
      <c r="O437" s="126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2:26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26"/>
      <c r="O438" s="126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2:26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26"/>
      <c r="O439" s="126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2:26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26"/>
      <c r="O440" s="126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2:26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26"/>
      <c r="O441" s="126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2:26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26"/>
      <c r="O442" s="126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2:26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26"/>
      <c r="O443" s="126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2:26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26"/>
      <c r="O444" s="126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2:26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26"/>
      <c r="O445" s="126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2:26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26"/>
      <c r="O446" s="126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2:26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26"/>
      <c r="O447" s="126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2:26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26"/>
      <c r="O448" s="126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2:26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26"/>
      <c r="O449" s="126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2:26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26"/>
      <c r="O450" s="126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2:26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26"/>
      <c r="O451" s="126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2:26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26"/>
      <c r="O452" s="126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2:26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26"/>
      <c r="O453" s="126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2:26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26"/>
      <c r="O454" s="126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2:26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26"/>
      <c r="O455" s="126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2:26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26"/>
      <c r="O456" s="126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2:26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26"/>
      <c r="O457" s="126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2:26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26"/>
      <c r="O458" s="126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2:26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26"/>
      <c r="O459" s="126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2:26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26"/>
      <c r="O460" s="126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2:26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26"/>
      <c r="O461" s="126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2:26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26"/>
      <c r="O462" s="126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2:26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26"/>
      <c r="O463" s="126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2:26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26"/>
      <c r="O464" s="126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2:26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26"/>
      <c r="O465" s="126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2:26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26"/>
      <c r="O466" s="126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2:26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26"/>
      <c r="O467" s="126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2:26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26"/>
      <c r="O468" s="126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2:26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26"/>
      <c r="O469" s="126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2:26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26"/>
      <c r="O470" s="126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2:26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26"/>
      <c r="O471" s="126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2:26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26"/>
      <c r="O472" s="126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2:26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26"/>
      <c r="O473" s="126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2:26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26"/>
      <c r="O474" s="126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2:26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26"/>
      <c r="O475" s="126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2:26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26"/>
      <c r="O476" s="126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2:26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26"/>
      <c r="O477" s="126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2:26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26"/>
      <c r="O478" s="126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2:26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26"/>
      <c r="O479" s="126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2:26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26"/>
      <c r="O480" s="126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2:26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26"/>
      <c r="O481" s="126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2:26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26"/>
      <c r="O482" s="126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2:26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26"/>
      <c r="O483" s="126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2:26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26"/>
      <c r="O484" s="126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2:26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26"/>
      <c r="O485" s="126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2:26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26"/>
      <c r="O486" s="126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2:26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26"/>
      <c r="O487" s="126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2:26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26"/>
      <c r="O488" s="126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2:26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26"/>
      <c r="O489" s="126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2:26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26"/>
      <c r="O490" s="126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2:26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26"/>
      <c r="O491" s="126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2:26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26"/>
      <c r="O492" s="126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2:26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26"/>
      <c r="O493" s="126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2:26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26"/>
      <c r="O494" s="126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2:26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26"/>
      <c r="O495" s="126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2:26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26"/>
      <c r="O496" s="126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2:26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26"/>
      <c r="O497" s="126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2:26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26"/>
      <c r="O498" s="126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2:26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26"/>
      <c r="O499" s="126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2:26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26"/>
      <c r="O500" s="126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2:26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26"/>
      <c r="O501" s="126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2:26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26"/>
      <c r="O502" s="126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2:26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26"/>
      <c r="O503" s="126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2:26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26"/>
      <c r="O504" s="126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2:26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26"/>
      <c r="O505" s="126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2:26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26"/>
      <c r="O506" s="126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2:26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26"/>
      <c r="O507" s="126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2:26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26"/>
      <c r="O508" s="126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2:26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26"/>
      <c r="O509" s="126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2:26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26"/>
      <c r="O510" s="126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2:26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26"/>
      <c r="O511" s="126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2:26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26"/>
      <c r="O512" s="126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2:26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26"/>
      <c r="O513" s="126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2:26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26"/>
      <c r="O514" s="126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2:26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26"/>
      <c r="O515" s="126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2:26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26"/>
      <c r="O516" s="126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2:26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26"/>
      <c r="O517" s="126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2:26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26"/>
      <c r="O518" s="126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2:26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26"/>
      <c r="O519" s="126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2:26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26"/>
      <c r="O520" s="126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2:26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26"/>
      <c r="O521" s="126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2:26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26"/>
      <c r="O522" s="126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2:26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26"/>
      <c r="O523" s="126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2:26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26"/>
      <c r="O524" s="126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2:26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26"/>
      <c r="O525" s="126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2:26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26"/>
      <c r="O526" s="126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2:26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26"/>
      <c r="O527" s="126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2:26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26"/>
      <c r="O528" s="126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2:26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26"/>
      <c r="O529" s="126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2:26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26"/>
      <c r="O530" s="126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2:26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26"/>
      <c r="O531" s="126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2:26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26"/>
      <c r="O532" s="126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2:26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26"/>
      <c r="O533" s="126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2:26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26"/>
      <c r="O534" s="126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2:26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26"/>
      <c r="O535" s="126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2:26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26"/>
      <c r="O536" s="126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2:26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26"/>
      <c r="O537" s="126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2:26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26"/>
      <c r="O538" s="126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2:26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26"/>
      <c r="O539" s="126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2:26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26"/>
      <c r="O540" s="126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2:26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26"/>
      <c r="O541" s="126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2:26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26"/>
      <c r="O542" s="126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2:26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26"/>
      <c r="O543" s="126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2:26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26"/>
      <c r="O544" s="126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2:26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26"/>
      <c r="O545" s="126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2:26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26"/>
      <c r="O546" s="126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2:26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26"/>
      <c r="O547" s="126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2:26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26"/>
      <c r="O548" s="126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2:26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26"/>
      <c r="O549" s="126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2:26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26"/>
      <c r="O550" s="126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2:26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26"/>
      <c r="O551" s="126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2:26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26"/>
      <c r="O552" s="126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2:26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26"/>
      <c r="O553" s="126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2:26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26"/>
      <c r="O554" s="126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2:26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26"/>
      <c r="O555" s="126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2:26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26"/>
      <c r="O556" s="126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2:26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26"/>
      <c r="O557" s="126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2:26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26"/>
      <c r="O558" s="126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2:26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26"/>
      <c r="O559" s="126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2:26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26"/>
      <c r="O560" s="126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2:26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26"/>
      <c r="O561" s="126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2:26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26"/>
      <c r="O562" s="126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2:26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26"/>
      <c r="O563" s="126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2:26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26"/>
      <c r="O564" s="126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2:26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26"/>
      <c r="O565" s="126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2:26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26"/>
      <c r="O566" s="126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2:26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26"/>
      <c r="O567" s="126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2:26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26"/>
      <c r="O568" s="126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2:26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26"/>
      <c r="O569" s="126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2:26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26"/>
      <c r="O570" s="126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2:26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26"/>
      <c r="O571" s="126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2:26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26"/>
      <c r="O572" s="126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2:26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26"/>
      <c r="O573" s="126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2:26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26"/>
      <c r="O574" s="126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2:26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26"/>
      <c r="O575" s="126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2:26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26"/>
      <c r="O576" s="126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2:26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26"/>
      <c r="O577" s="126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2:26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26"/>
      <c r="O578" s="126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2:26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26"/>
      <c r="O579" s="126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26"/>
      <c r="O580" s="126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2:26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26"/>
      <c r="O581" s="126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2:26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26"/>
      <c r="O582" s="126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2:26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26"/>
      <c r="O583" s="126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2:26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26"/>
      <c r="O584" s="126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2:26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26"/>
      <c r="O585" s="126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2:26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26"/>
      <c r="O586" s="126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2:26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26"/>
      <c r="O587" s="126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2:26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26"/>
      <c r="O588" s="126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2:26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26"/>
      <c r="O589" s="126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2:26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26"/>
      <c r="O590" s="126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2:26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26"/>
      <c r="O591" s="126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2:26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26"/>
      <c r="O592" s="126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2:26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26"/>
      <c r="O593" s="126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2:26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26"/>
      <c r="O594" s="126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2:26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26"/>
      <c r="O595" s="126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2:26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26"/>
      <c r="O596" s="126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2:26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26"/>
      <c r="O597" s="126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2:26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26"/>
      <c r="O598" s="126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2:26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26"/>
      <c r="O599" s="126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2:26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26"/>
      <c r="O600" s="126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2:26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26"/>
      <c r="O601" s="126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2:26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26"/>
      <c r="O602" s="126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2:26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26"/>
      <c r="O603" s="126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2:26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26"/>
      <c r="O604" s="126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2:26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26"/>
      <c r="O605" s="126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2:26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26"/>
      <c r="O606" s="126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2:26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26"/>
      <c r="O607" s="126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2:26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26"/>
      <c r="O608" s="126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2:26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26"/>
      <c r="O609" s="126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2:26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26"/>
      <c r="O610" s="126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2:26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26"/>
      <c r="O611" s="126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2:26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26"/>
      <c r="O612" s="126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2:26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26"/>
      <c r="O613" s="126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2:26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26"/>
      <c r="O614" s="126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2:26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26"/>
      <c r="O615" s="126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2:26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26"/>
      <c r="O616" s="126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2:26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26"/>
      <c r="O617" s="126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2:26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26"/>
      <c r="O618" s="126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2:26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26"/>
      <c r="O619" s="126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2:26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26"/>
      <c r="O620" s="126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2:26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26"/>
      <c r="O621" s="126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2:26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26"/>
      <c r="O622" s="126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2:26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26"/>
      <c r="O623" s="126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2:26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26"/>
      <c r="O624" s="126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2:26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26"/>
      <c r="O625" s="126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2:26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26"/>
      <c r="O626" s="126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2:26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26"/>
      <c r="O627" s="126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2:26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26"/>
      <c r="O628" s="126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2:26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26"/>
      <c r="O629" s="126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2:26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26"/>
      <c r="O630" s="126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2:26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26"/>
      <c r="O631" s="126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2:26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26"/>
      <c r="O632" s="126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2:26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26"/>
      <c r="O633" s="126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2:26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26"/>
      <c r="O634" s="126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2:26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26"/>
      <c r="O635" s="126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2:26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26"/>
      <c r="O636" s="126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2:26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26"/>
      <c r="O637" s="126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2:26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26"/>
      <c r="O638" s="126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2:26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26"/>
      <c r="O639" s="126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2:26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26"/>
      <c r="O640" s="126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2:26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26"/>
      <c r="O641" s="126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2:26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26"/>
      <c r="O642" s="126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2:26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26"/>
      <c r="O643" s="126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2:26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26"/>
      <c r="O644" s="126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2:26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26"/>
      <c r="O645" s="126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2:26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26"/>
      <c r="O646" s="126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2:26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26"/>
      <c r="O647" s="126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2:26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26"/>
      <c r="O648" s="126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2:26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26"/>
      <c r="O649" s="126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2:26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26"/>
      <c r="O650" s="126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2:26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26"/>
      <c r="O651" s="126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2:26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26"/>
      <c r="O652" s="126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2:26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26"/>
      <c r="O653" s="126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2:26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26"/>
      <c r="O654" s="126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2:26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26"/>
      <c r="O655" s="126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2:26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26"/>
      <c r="O656" s="126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2:26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26"/>
      <c r="O657" s="126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2:26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26"/>
      <c r="O658" s="126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2:26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26"/>
      <c r="O659" s="126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2:26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26"/>
      <c r="O660" s="126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2:26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26"/>
      <c r="O661" s="126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2:26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26"/>
      <c r="O662" s="126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2:26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26"/>
      <c r="O663" s="126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2:26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26"/>
      <c r="O664" s="126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2:26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26"/>
      <c r="O665" s="126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2:26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26"/>
      <c r="O666" s="126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2:26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26"/>
      <c r="O667" s="126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2:26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26"/>
      <c r="O668" s="126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2:26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26"/>
      <c r="O669" s="126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2:26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26"/>
      <c r="O670" s="126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2:26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26"/>
      <c r="O671" s="126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2:26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26"/>
      <c r="O672" s="126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2:26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26"/>
      <c r="O673" s="126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2:26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26"/>
      <c r="O674" s="126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2:26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26"/>
      <c r="O675" s="126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2:26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26"/>
      <c r="O676" s="126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2:26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26"/>
      <c r="O677" s="126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2:26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26"/>
      <c r="O678" s="126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2:26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26"/>
      <c r="O679" s="126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2:26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26"/>
      <c r="O680" s="126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2:26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26"/>
      <c r="O681" s="126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2:26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26"/>
      <c r="O682" s="126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2:26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26"/>
      <c r="O683" s="126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2:26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26"/>
      <c r="O684" s="126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2:26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26"/>
      <c r="O685" s="126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2:26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26"/>
      <c r="O686" s="126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2:26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26"/>
      <c r="O687" s="126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2:26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26"/>
      <c r="O688" s="126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2:26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26"/>
      <c r="O689" s="126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2:26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26"/>
      <c r="O690" s="126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2:26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26"/>
      <c r="O691" s="126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2:26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26"/>
      <c r="O692" s="126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2:26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26"/>
      <c r="O693" s="126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2:26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26"/>
      <c r="O694" s="126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2:26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26"/>
      <c r="O695" s="126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2:26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26"/>
      <c r="O696" s="126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2:26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26"/>
      <c r="O697" s="126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2:26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26"/>
      <c r="O698" s="126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2:26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26"/>
      <c r="O699" s="126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2:26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26"/>
      <c r="O700" s="126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2:26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26"/>
      <c r="O701" s="126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2:26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26"/>
      <c r="O702" s="126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2:26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26"/>
      <c r="O703" s="126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2:26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26"/>
      <c r="O704" s="126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2:26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26"/>
      <c r="O705" s="126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2:26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26"/>
      <c r="O706" s="126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2:26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26"/>
      <c r="O707" s="126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2:26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26"/>
      <c r="O708" s="126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2:26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26"/>
      <c r="O709" s="126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2:26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26"/>
      <c r="O710" s="126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2:26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26"/>
      <c r="O711" s="126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2:26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26"/>
      <c r="O712" s="126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2:26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26"/>
      <c r="O713" s="126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2:26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26"/>
      <c r="O714" s="126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2:26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26"/>
      <c r="O715" s="126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2:26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26"/>
      <c r="O716" s="126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2:26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26"/>
      <c r="O717" s="126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2:26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26"/>
      <c r="O718" s="126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2:26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26"/>
      <c r="O719" s="126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2:26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26"/>
      <c r="O720" s="126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2:26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26"/>
      <c r="O721" s="126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2:26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26"/>
      <c r="O722" s="126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2:26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26"/>
      <c r="O723" s="126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2:26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26"/>
      <c r="O724" s="126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2:26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26"/>
      <c r="O725" s="126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2:26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26"/>
      <c r="O726" s="126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2:26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26"/>
      <c r="O727" s="126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2:26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26"/>
      <c r="O728" s="126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2:26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26"/>
      <c r="O729" s="126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2:26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26"/>
      <c r="O730" s="126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2:26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26"/>
      <c r="O731" s="126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2:26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26"/>
      <c r="O732" s="126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2:26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26"/>
      <c r="O733" s="126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2:26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26"/>
      <c r="O734" s="126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2:26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26"/>
      <c r="O735" s="126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2:26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26"/>
      <c r="O736" s="126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2:26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26"/>
      <c r="O737" s="126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2:26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26"/>
      <c r="O738" s="126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2:26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26"/>
      <c r="O739" s="126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2:26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26"/>
      <c r="O740" s="126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2:26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26"/>
      <c r="O741" s="126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2:26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26"/>
      <c r="O742" s="126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2:26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26"/>
      <c r="O743" s="126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2:26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26"/>
      <c r="O744" s="126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2:26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26"/>
      <c r="O745" s="126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2:26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26"/>
      <c r="O746" s="126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2:26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26"/>
      <c r="O747" s="126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2:26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26"/>
      <c r="O748" s="126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2:26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26"/>
      <c r="O749" s="126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2:26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26"/>
      <c r="O750" s="126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2:26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26"/>
      <c r="O751" s="126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2:26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26"/>
      <c r="O752" s="126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2:26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26"/>
      <c r="O753" s="126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2:26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26"/>
      <c r="O754" s="126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2:26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26"/>
      <c r="O755" s="126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2:26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26"/>
      <c r="O756" s="126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2:26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26"/>
      <c r="O757" s="126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2:26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26"/>
      <c r="O758" s="126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2:26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26"/>
      <c r="O759" s="126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2:26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26"/>
      <c r="O760" s="126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2:26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26"/>
      <c r="O761" s="126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2:26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26"/>
      <c r="O762" s="126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2:26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26"/>
      <c r="O763" s="126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2:26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26"/>
      <c r="O764" s="126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2:26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26"/>
      <c r="O765" s="126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2:26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26"/>
      <c r="O766" s="126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2:26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26"/>
      <c r="O767" s="126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2:26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26"/>
      <c r="O768" s="126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2:26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26"/>
      <c r="O769" s="126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2:26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26"/>
      <c r="O770" s="126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2:26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26"/>
      <c r="O771" s="126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2:26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26"/>
      <c r="O772" s="126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2:26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26"/>
      <c r="O773" s="126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2:26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26"/>
      <c r="O774" s="126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2:26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26"/>
      <c r="O775" s="126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2:26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26"/>
      <c r="O776" s="126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2:26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26"/>
      <c r="O777" s="126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2:26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26"/>
      <c r="O778" s="126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2:26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26"/>
      <c r="O779" s="126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2:26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26"/>
      <c r="O780" s="126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2:26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26"/>
      <c r="O781" s="126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2:26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26"/>
      <c r="O782" s="126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2:26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26"/>
      <c r="O783" s="126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2:26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26"/>
      <c r="O784" s="126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2:26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26"/>
      <c r="O785" s="126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2:26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26"/>
      <c r="O786" s="126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2:26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26"/>
      <c r="O787" s="126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2:26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26"/>
      <c r="O788" s="126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2:26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26"/>
      <c r="O789" s="126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2:26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26"/>
      <c r="O790" s="126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2:26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26"/>
      <c r="O791" s="126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2:26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26"/>
      <c r="O792" s="126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2:26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26"/>
      <c r="O793" s="126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2:26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26"/>
      <c r="O794" s="126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2:26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26"/>
      <c r="O795" s="126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2:26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26"/>
      <c r="O796" s="126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2:26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26"/>
      <c r="O797" s="126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2:26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26"/>
      <c r="O798" s="126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2:26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26"/>
      <c r="O799" s="126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2:26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26"/>
      <c r="O800" s="126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2:26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26"/>
      <c r="O801" s="126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2:26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26"/>
      <c r="O802" s="126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2:26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26"/>
      <c r="O803" s="126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2:26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26"/>
      <c r="O804" s="126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2:26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26"/>
      <c r="O805" s="126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26"/>
      <c r="O806" s="126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2:26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26"/>
      <c r="O807" s="126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2:26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26"/>
      <c r="O808" s="126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2:26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26"/>
      <c r="O809" s="126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2:26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26"/>
      <c r="O810" s="126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2:26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26"/>
      <c r="O811" s="126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2:26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26"/>
      <c r="O812" s="126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2:26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26"/>
      <c r="O813" s="126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2:26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26"/>
      <c r="O814" s="126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2:26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26"/>
      <c r="O815" s="126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2:26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26"/>
      <c r="O816" s="126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2:26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26"/>
      <c r="O817" s="126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2:26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26"/>
      <c r="O818" s="126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2:26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26"/>
      <c r="O819" s="126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2:26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26"/>
      <c r="O820" s="126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2:26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26"/>
      <c r="O821" s="126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2:26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26"/>
      <c r="O822" s="126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2:26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26"/>
      <c r="O823" s="126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2:26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26"/>
      <c r="O824" s="126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2:26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26"/>
      <c r="O825" s="126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2:26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26"/>
      <c r="O826" s="126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2:26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26"/>
      <c r="O827" s="126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2:26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26"/>
      <c r="O828" s="126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2:26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26"/>
      <c r="O829" s="126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2:26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26"/>
      <c r="O830" s="126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2:26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26"/>
      <c r="O831" s="126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2:26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26"/>
      <c r="O832" s="126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2:26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26"/>
      <c r="O833" s="126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2:26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26"/>
      <c r="O834" s="126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2:26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26"/>
      <c r="O835" s="126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2:26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26"/>
      <c r="O836" s="126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2:26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26"/>
      <c r="O837" s="126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2:26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26"/>
      <c r="O838" s="126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2:26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26"/>
      <c r="O839" s="126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2:26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26"/>
      <c r="O840" s="126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2:26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26"/>
      <c r="O841" s="126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2:26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26"/>
      <c r="O842" s="126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2:26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26"/>
      <c r="O843" s="126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2:26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26"/>
      <c r="O844" s="126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2:26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26"/>
      <c r="O845" s="126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2:26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26"/>
      <c r="O846" s="126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2:26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26"/>
      <c r="O847" s="126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2:26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26"/>
      <c r="O848" s="126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2:26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26"/>
      <c r="O849" s="126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2:26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26"/>
      <c r="O850" s="126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2:26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26"/>
      <c r="O851" s="126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2:26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26"/>
      <c r="O852" s="126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2:26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26"/>
      <c r="O853" s="126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2:26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26"/>
      <c r="O854" s="126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2:26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26"/>
      <c r="O855" s="126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2:26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26"/>
      <c r="O856" s="126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2:26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26"/>
      <c r="O857" s="126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2:26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26"/>
      <c r="O858" s="126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2:26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26"/>
      <c r="O859" s="126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2:26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26"/>
      <c r="O860" s="126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2:26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26"/>
      <c r="O861" s="126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2:26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26"/>
      <c r="O862" s="126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2:26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26"/>
      <c r="O863" s="126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2:26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26"/>
      <c r="O864" s="126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2:26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26"/>
      <c r="O865" s="126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2:26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26"/>
      <c r="O866" s="126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2:26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26"/>
      <c r="O867" s="126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2:26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26"/>
      <c r="O868" s="126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2:26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26"/>
      <c r="O869" s="126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2:26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26"/>
      <c r="O870" s="126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2:26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26"/>
      <c r="O871" s="126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2:26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26"/>
      <c r="O872" s="126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2:26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26"/>
      <c r="O873" s="126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2:26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26"/>
      <c r="O874" s="126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2:26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26"/>
      <c r="O875" s="126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2:26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26"/>
      <c r="O876" s="126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2:26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26"/>
      <c r="O877" s="126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2:26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26"/>
      <c r="O878" s="126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2:26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26"/>
      <c r="O879" s="126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2:26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26"/>
      <c r="O880" s="126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2:26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26"/>
      <c r="O881" s="126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2:26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26"/>
      <c r="O882" s="126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2:26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26"/>
      <c r="O883" s="126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2:26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26"/>
      <c r="O884" s="126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2:26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26"/>
      <c r="O885" s="126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2:26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26"/>
      <c r="O886" s="126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2:26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26"/>
      <c r="O887" s="126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2:26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26"/>
      <c r="O888" s="126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2:26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26"/>
      <c r="O889" s="126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2:26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26"/>
      <c r="O890" s="126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2:26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26"/>
      <c r="O891" s="126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2:26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26"/>
      <c r="O892" s="126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2:26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26"/>
      <c r="O893" s="126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2:26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26"/>
      <c r="O894" s="126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2:26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26"/>
      <c r="O895" s="126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2:26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26"/>
      <c r="O896" s="126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2:26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26"/>
      <c r="O897" s="126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2:26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26"/>
      <c r="O898" s="126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2:26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26"/>
      <c r="O899" s="126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2:26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26"/>
      <c r="O900" s="126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2:26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26"/>
      <c r="O901" s="126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2:26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26"/>
      <c r="O902" s="126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2:26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26"/>
      <c r="O903" s="126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2:26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26"/>
      <c r="O904" s="126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2:26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26"/>
      <c r="O905" s="126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2:26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26"/>
      <c r="O906" s="126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2:26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26"/>
      <c r="O907" s="126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2:26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26"/>
      <c r="O908" s="126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2:26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26"/>
      <c r="O909" s="126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2:26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26"/>
      <c r="O910" s="126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2:26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26"/>
      <c r="O911" s="126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2:26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26"/>
      <c r="O912" s="126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2:26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26"/>
      <c r="O913" s="126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2:26" ht="12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26"/>
      <c r="O914" s="126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2:26" ht="12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26"/>
      <c r="O915" s="126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2:26" ht="12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26"/>
      <c r="O916" s="126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2:26" ht="12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26"/>
      <c r="O917" s="126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2:26" ht="12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26"/>
      <c r="O918" s="126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2:26" ht="12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26"/>
      <c r="O919" s="126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2:26" ht="12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26"/>
      <c r="O920" s="126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2:26" ht="12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26"/>
      <c r="O921" s="126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2:26" ht="12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26"/>
      <c r="O922" s="126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2:26" ht="12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26"/>
      <c r="O923" s="126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2:26" ht="12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26"/>
      <c r="O924" s="126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2:26" ht="12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26"/>
      <c r="O925" s="126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2:26" ht="12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26"/>
      <c r="O926" s="126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2:26" ht="12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26"/>
      <c r="O927" s="126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2:26" ht="12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26"/>
      <c r="O928" s="126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2:26" ht="12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26"/>
      <c r="O929" s="126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2:26" ht="12.7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26"/>
      <c r="O930" s="126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2:26" ht="12.7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26"/>
      <c r="O931" s="126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2:26" ht="12.7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26"/>
      <c r="O932" s="126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2:26" ht="12.7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26"/>
      <c r="O933" s="126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2:26" ht="12.7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26"/>
      <c r="O934" s="126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2:26" ht="12.7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26"/>
      <c r="O935" s="126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2:26" ht="12.7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26"/>
      <c r="O936" s="126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2:26" ht="12.7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26"/>
      <c r="O937" s="126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2:26" ht="12.7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26"/>
      <c r="O938" s="126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2:26" ht="12.7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26"/>
      <c r="O939" s="126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2:26" ht="12.7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26"/>
      <c r="O940" s="126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2:26" ht="12.7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26"/>
      <c r="O941" s="126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2:26" ht="12.7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26"/>
      <c r="O942" s="126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2:26" ht="12.7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26"/>
      <c r="O943" s="126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2:26" ht="12.7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26"/>
      <c r="O944" s="126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2:26" ht="12.7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26"/>
      <c r="O945" s="126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2:26" ht="12.7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26"/>
      <c r="O946" s="126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2:26" ht="12.7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26"/>
      <c r="O947" s="126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2:26" ht="12.7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26"/>
      <c r="O948" s="126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2:26" ht="12.7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26"/>
      <c r="O949" s="126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2:26" ht="12.7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26"/>
      <c r="O950" s="126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2:26" ht="12.7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26"/>
      <c r="O951" s="126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2:26" ht="12.7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26"/>
      <c r="O952" s="126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2:26" ht="12.7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26"/>
      <c r="O953" s="126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2:26" ht="12.7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26"/>
      <c r="O954" s="126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2:26" ht="12.7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26"/>
      <c r="O955" s="126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2:26" ht="12.7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26"/>
      <c r="O956" s="126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2:26" ht="12.7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26"/>
      <c r="O957" s="126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2:26" ht="12.7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26"/>
      <c r="O958" s="126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2:26" ht="12.7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26"/>
      <c r="O959" s="126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2:26" ht="12.7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26"/>
      <c r="O960" s="126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2:26" ht="12.7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26"/>
      <c r="O961" s="126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2:26" ht="12.7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26"/>
      <c r="O962" s="126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2:26" ht="12.7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26"/>
      <c r="O963" s="126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2:26" ht="12.7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26"/>
      <c r="O964" s="126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2:26" ht="12.7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26"/>
      <c r="O965" s="126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2:26" ht="12.7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26"/>
      <c r="O966" s="126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2:26" ht="12.7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26"/>
      <c r="O967" s="126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2:26" ht="12.7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26"/>
      <c r="O968" s="126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2:26" ht="12.7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26"/>
      <c r="O969" s="126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2:26" ht="12.7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26"/>
      <c r="O970" s="126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2:26" ht="12.7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26"/>
      <c r="O971" s="126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2:26" ht="12.7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26"/>
      <c r="O972" s="126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2:26" ht="12.7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26"/>
      <c r="O973" s="126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2:26" ht="12.7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26"/>
      <c r="O974" s="126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2:26" ht="12.7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26"/>
      <c r="O975" s="126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2:26" ht="12.7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26"/>
      <c r="O976" s="126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2:26" ht="12.7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26"/>
      <c r="O977" s="126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2:26" ht="12.7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26"/>
      <c r="O978" s="126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2:26" ht="12.7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26"/>
      <c r="O979" s="126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2:26" ht="12.7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26"/>
      <c r="O980" s="126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2:26" ht="12.7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26"/>
      <c r="O981" s="126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2:26" ht="12.7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26"/>
      <c r="O982" s="126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2:26" ht="12.7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26"/>
      <c r="O983" s="126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2:26" ht="12.7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26"/>
      <c r="O984" s="126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2:26" ht="12.7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26"/>
      <c r="O985" s="126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2:26" ht="12.7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26"/>
      <c r="O986" s="126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2:26" ht="12.7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26"/>
      <c r="O987" s="126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2:26" ht="12.7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26"/>
      <c r="O988" s="126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2:26" ht="12.7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26"/>
      <c r="O989" s="126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2:26" ht="12.7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26"/>
      <c r="O990" s="126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2:26" ht="12.7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26"/>
      <c r="O991" s="126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2:26" ht="12.7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26"/>
      <c r="O992" s="126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2:26" ht="12.7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26"/>
      <c r="O993" s="126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2:26" ht="12.7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26"/>
      <c r="O994" s="126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2:26" ht="12.7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26"/>
      <c r="O995" s="126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2:26" ht="12.7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26"/>
      <c r="O996" s="126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2:26" ht="12.7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26"/>
      <c r="O997" s="126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2:26" ht="12.7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26"/>
      <c r="O998" s="126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2:26" ht="12.7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26"/>
      <c r="O999" s="126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2:26" ht="12.7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26"/>
      <c r="O1000" s="126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2:26" ht="12.7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26"/>
      <c r="O1001" s="126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2:26" ht="12.7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26"/>
      <c r="O1002" s="126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2:26" ht="12.7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26"/>
      <c r="O1003" s="126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2:26" ht="12.7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26"/>
      <c r="O1004" s="126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2:26" ht="12.7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26"/>
      <c r="O1005" s="126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2:26" ht="12.7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26"/>
      <c r="O1006" s="126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2:26" ht="12.7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26"/>
      <c r="O1007" s="126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2:26" ht="12.7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26"/>
      <c r="O1008" s="126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2:26" ht="12.7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26"/>
      <c r="O1009" s="126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2:26" ht="12.7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26"/>
      <c r="O1010" s="126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2:26" ht="12.7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26"/>
      <c r="O1011" s="126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2:26" ht="12.7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26"/>
      <c r="O1012" s="126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2:26" ht="12.7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26"/>
      <c r="O1013" s="126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2:26" ht="12.7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26"/>
      <c r="O1014" s="126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2:26" ht="12.7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26"/>
      <c r="O1015" s="126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2:26" ht="12.7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26"/>
      <c r="O1016" s="126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2:26" ht="12.7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26"/>
      <c r="O1017" s="126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2:26" ht="12.7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26"/>
      <c r="O1018" s="126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2:26" ht="12.7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26"/>
      <c r="O1019" s="126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2:26" ht="12.7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26"/>
      <c r="O1020" s="126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2:26" ht="12.7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26"/>
      <c r="O1021" s="126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2:26" ht="12.7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26"/>
      <c r="O1022" s="126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2:26" ht="12.7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26"/>
      <c r="O1023" s="126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2:26" ht="12.7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26"/>
      <c r="O1024" s="126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2:26" ht="12.7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26"/>
      <c r="O1025" s="126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2:26" ht="12.7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26"/>
      <c r="O1026" s="126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2:26" ht="12.7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26"/>
      <c r="O1027" s="126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2:26" ht="12.7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26"/>
      <c r="O1028" s="126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2:26" ht="12.7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26"/>
      <c r="O1029" s="126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2:26" ht="12.7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26"/>
      <c r="O1030" s="126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2:26" ht="12.7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26"/>
      <c r="O1031" s="126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2:26" ht="12.7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26"/>
      <c r="O1032" s="126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2:26" ht="12.7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26"/>
      <c r="O1033" s="126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2:26" ht="12.7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26"/>
      <c r="O1034" s="126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2:26" ht="12.7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26"/>
      <c r="O1035" s="126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2:26" ht="12.7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26"/>
      <c r="O1036" s="126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2:26" ht="12.7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26"/>
      <c r="O1037" s="126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2:26" ht="12.7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26"/>
      <c r="O1038" s="126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2:26" ht="12.7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26"/>
      <c r="O1039" s="126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2:26" ht="12.7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26"/>
      <c r="O1040" s="126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2:26" ht="12.7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26"/>
      <c r="O1041" s="126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2:26" ht="12.7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26"/>
      <c r="O1042" s="126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2:26" ht="12.7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26"/>
      <c r="O1043" s="126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2:26" ht="12.7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26"/>
      <c r="O1044" s="126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2:26" ht="12.7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26"/>
      <c r="O1045" s="126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2:26" ht="12.7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26"/>
      <c r="O1046" s="126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2:26" ht="12.7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26"/>
      <c r="O1047" s="126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2:26" ht="12.7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26"/>
      <c r="O1048" s="126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2:26" ht="12.7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26"/>
      <c r="O1049" s="126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2:26" ht="12.7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26"/>
      <c r="O1050" s="126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2:26" ht="12.7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26"/>
      <c r="O1051" s="126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2:26" ht="12.7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26"/>
      <c r="O1052" s="126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2:26" ht="12.7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26"/>
      <c r="O1053" s="126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2:26" ht="12.7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26"/>
      <c r="O1054" s="126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2:26" ht="12.7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26"/>
      <c r="O1055" s="126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2:26" ht="12.7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26"/>
      <c r="O1056" s="126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2:26" ht="12.7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26"/>
      <c r="O1057" s="126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2:26" ht="12.7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26"/>
      <c r="O1058" s="126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2:26" ht="12.7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26"/>
      <c r="O1059" s="126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2:26" ht="12.7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26"/>
      <c r="O1060" s="126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2:26" ht="12.7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26"/>
      <c r="O1061" s="126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2:26" ht="12.7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26"/>
      <c r="O1062" s="126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2:26" ht="12.7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26"/>
      <c r="O1063" s="126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2:26" ht="12.7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26"/>
      <c r="O1064" s="126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2:26" ht="12.7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26"/>
      <c r="O1065" s="126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2:26" ht="12.7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26"/>
      <c r="O1066" s="126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2:26" ht="12.7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26"/>
      <c r="O1067" s="126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2:26" ht="12.7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26"/>
      <c r="O1068" s="126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2:26" ht="12.7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26"/>
      <c r="O1069" s="126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2:26" ht="12.7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26"/>
      <c r="O1070" s="126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2:26" ht="12.7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26"/>
      <c r="O1071" s="126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2:26" ht="12.7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26"/>
      <c r="O1072" s="126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2:26" ht="12.7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26"/>
      <c r="O1073" s="126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2:26" ht="12.7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26"/>
      <c r="O1074" s="126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2:26" ht="12.7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26"/>
      <c r="O1075" s="126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2:26" ht="12.7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26"/>
      <c r="O1076" s="126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2:26" ht="12.7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26"/>
      <c r="O1077" s="126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2:26" ht="12.7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26"/>
      <c r="O1078" s="126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2:26" ht="12.7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26"/>
      <c r="O1079" s="126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2:26" ht="12.7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26"/>
      <c r="O1080" s="126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2:26" ht="12.7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26"/>
      <c r="O1081" s="126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2:26" ht="12.7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26"/>
      <c r="O1082" s="126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2:26" ht="12.7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26"/>
      <c r="O1083" s="126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2:26" ht="12.7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26"/>
      <c r="O1084" s="126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2:26" ht="12.7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26"/>
      <c r="O1085" s="126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2:26" ht="12.7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26"/>
      <c r="O1086" s="126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2:26" ht="12.7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26"/>
      <c r="O1087" s="126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2:26" ht="12.7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26"/>
      <c r="O1088" s="126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2:26" ht="12.7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26"/>
      <c r="O1089" s="126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2:26" ht="12.7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26"/>
      <c r="O1090" s="126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2:26" ht="12.7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26"/>
      <c r="O1091" s="126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2:26" ht="12.7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26"/>
      <c r="O1092" s="126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2:26" ht="12.7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26"/>
      <c r="O1093" s="126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2:26" ht="12.7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26"/>
      <c r="O1094" s="126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2:26" ht="12.7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26"/>
      <c r="O1095" s="126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2:26" ht="12.7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26"/>
      <c r="O1096" s="126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2:26" ht="12.7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26"/>
      <c r="O1097" s="126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2:26" ht="12.7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26"/>
      <c r="O1098" s="126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2:26" ht="12.7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26"/>
      <c r="O1099" s="126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2:26" ht="12.7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26"/>
      <c r="O1100" s="126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2:26" ht="12.7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26"/>
      <c r="O1101" s="126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2:26" ht="12.7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26"/>
      <c r="O1102" s="126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2:26" ht="12.7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26"/>
      <c r="O1103" s="126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2:26" ht="12.7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26"/>
      <c r="O1104" s="126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2:26" ht="12.7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26"/>
      <c r="O1105" s="126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spans="2:26" ht="12.7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26"/>
      <c r="O1106" s="126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spans="2:26" ht="12.7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26"/>
      <c r="O1107" s="126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spans="2:26" ht="12.7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26"/>
      <c r="O1108" s="126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spans="2:26" ht="12.7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26"/>
      <c r="O1109" s="126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spans="2:26" ht="12.7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26"/>
      <c r="O1110" s="126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spans="2:26" ht="12.7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26"/>
      <c r="O1111" s="126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spans="2:26" ht="12.7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26"/>
      <c r="O1112" s="126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spans="2:26" ht="12.7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26"/>
      <c r="O1113" s="126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spans="2:26" ht="12.7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26"/>
      <c r="O1114" s="126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spans="2:26" ht="12.7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26"/>
      <c r="O1115" s="126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spans="2:26" ht="12.7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26"/>
      <c r="O1116" s="126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spans="2:26" ht="12.7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26"/>
      <c r="O1117" s="126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  <row r="1118" spans="2:26" ht="12.7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26"/>
      <c r="O1118" s="126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</row>
    <row r="1119" spans="2:26" ht="12.7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26"/>
      <c r="O1119" s="126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</row>
    <row r="1120" spans="2:26" ht="12.7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26"/>
      <c r="O1120" s="126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</row>
    <row r="1121" spans="2:26" ht="12.7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26"/>
      <c r="O1121" s="126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</row>
    <row r="1122" spans="2:26" ht="12.7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26"/>
      <c r="O1122" s="126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</row>
    <row r="1123" spans="2:26" ht="12.7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26"/>
      <c r="O1123" s="126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</row>
    <row r="1124" spans="2:26" ht="12.7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26"/>
      <c r="O1124" s="126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</row>
    <row r="1125" spans="2:26" ht="12.7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26"/>
      <c r="O1125" s="126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</row>
    <row r="1126" spans="2:26" ht="12.7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26"/>
      <c r="O1126" s="126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</row>
    <row r="1127" spans="2:26" ht="12.7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26"/>
      <c r="O1127" s="126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</row>
    <row r="1128" spans="2:26" ht="12.7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26"/>
      <c r="O1128" s="126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</row>
    <row r="1129" spans="2:26" ht="12.7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26"/>
      <c r="O1129" s="126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</row>
    <row r="1130" spans="2:26" ht="12.7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26"/>
      <c r="O1130" s="126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</row>
    <row r="1131" spans="2:26" ht="12.7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26"/>
      <c r="O1131" s="126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</row>
    <row r="1132" spans="2:26" ht="12.7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26"/>
      <c r="O1132" s="126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</row>
    <row r="1133" spans="2:26" ht="12.7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26"/>
      <c r="O1133" s="126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</row>
    <row r="1134" spans="2:26" ht="12.7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26"/>
      <c r="O1134" s="126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</row>
    <row r="1135" spans="2:26" ht="12.7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26"/>
      <c r="O1135" s="126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</row>
    <row r="1136" spans="2:26" ht="12.7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26"/>
      <c r="O1136" s="126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</row>
    <row r="1137" spans="2:26" ht="12.7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26"/>
      <c r="O1137" s="126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</row>
    <row r="1138" spans="2:26" ht="12.7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26"/>
      <c r="O1138" s="126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</row>
    <row r="1139" spans="2:26" ht="12.7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26"/>
      <c r="O1139" s="126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</row>
    <row r="1140" spans="2:26" ht="12.7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26"/>
      <c r="O1140" s="126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</row>
    <row r="1141" spans="2:26" ht="12.7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26"/>
      <c r="O1141" s="126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</row>
    <row r="1142" spans="2:26" ht="12.7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26"/>
      <c r="O1142" s="126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</row>
    <row r="1143" spans="2:26" ht="12.7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26"/>
      <c r="O1143" s="126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</row>
    <row r="1144" spans="2:26" ht="12.7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26"/>
      <c r="O1144" s="126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</row>
    <row r="1145" spans="2:26" ht="12.7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26"/>
      <c r="O1145" s="126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</row>
    <row r="1146" spans="2:26" ht="12.7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26"/>
      <c r="O1146" s="126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</row>
    <row r="1147" spans="2:26" ht="12.7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26"/>
      <c r="O1147" s="126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</row>
    <row r="1148" spans="2:26" ht="12.7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26"/>
      <c r="O1148" s="126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</row>
    <row r="1149" spans="2:26" ht="12.7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26"/>
      <c r="O1149" s="126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</row>
    <row r="1150" spans="2:26" ht="12.7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26"/>
      <c r="O1150" s="126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</row>
    <row r="1151" spans="2:26" ht="12.7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26"/>
      <c r="O1151" s="126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</row>
    <row r="1152" spans="2:26" ht="12.7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26"/>
      <c r="O1152" s="126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</row>
    <row r="1153" spans="2:26" ht="12.7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26"/>
      <c r="O1153" s="126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</row>
    <row r="1154" spans="2:26" ht="12.7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26"/>
      <c r="O1154" s="126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</row>
    <row r="1155" spans="2:26" ht="12.7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26"/>
      <c r="O1155" s="126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</row>
    <row r="1156" spans="2:26" ht="12.7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26"/>
      <c r="O1156" s="126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</row>
    <row r="1157" spans="2:26" ht="12.7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26"/>
      <c r="O1157" s="126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</row>
    <row r="1158" spans="2:26" ht="12.7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26"/>
      <c r="O1158" s="126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</row>
    <row r="1159" spans="2:26" ht="12.7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26"/>
      <c r="O1159" s="126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</row>
    <row r="1160" spans="2:26" ht="12.7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26"/>
      <c r="O1160" s="126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</row>
    <row r="1161" spans="2:26" ht="12.7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26"/>
      <c r="O1161" s="126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</row>
    <row r="1162" spans="2:26" ht="12.7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26"/>
      <c r="O1162" s="126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</row>
    <row r="1163" spans="2:26" ht="12.7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26"/>
      <c r="O1163" s="126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</row>
    <row r="1164" spans="2:26" ht="12.7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26"/>
      <c r="O1164" s="126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</row>
    <row r="1165" spans="2:26" ht="12.7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26"/>
      <c r="O1165" s="126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</row>
    <row r="1166" spans="2:26" ht="12.7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26"/>
      <c r="O1166" s="126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</row>
    <row r="1167" spans="2:26" ht="12.7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26"/>
      <c r="O1167" s="126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</row>
    <row r="1168" spans="2:26" ht="12.7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26"/>
      <c r="O1168" s="126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</row>
    <row r="1169" spans="2:26" ht="12.7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26"/>
      <c r="O1169" s="126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</row>
    <row r="1170" spans="2:26" ht="12.7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26"/>
      <c r="O1170" s="126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</row>
    <row r="1171" spans="2:26" ht="12.7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26"/>
      <c r="O1171" s="126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</row>
    <row r="1172" spans="2:26" ht="12.7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26"/>
      <c r="O1172" s="126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</row>
    <row r="1173" spans="2:26" ht="12.7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26"/>
      <c r="O1173" s="126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</row>
    <row r="1174" spans="2:26" ht="12.7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26"/>
      <c r="O1174" s="126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</row>
    <row r="1175" spans="2:26" ht="12.7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26"/>
      <c r="O1175" s="126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</row>
    <row r="1176" spans="2:26" ht="12.7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26"/>
      <c r="O1176" s="126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</row>
    <row r="1177" spans="2:26" ht="12.7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26"/>
      <c r="O1177" s="126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</row>
    <row r="1178" spans="2:26" ht="12.7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26"/>
      <c r="O1178" s="126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</row>
    <row r="1179" spans="2:26" ht="12.7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26"/>
      <c r="O1179" s="126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</row>
    <row r="1180" spans="2:26" ht="12.7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26"/>
      <c r="O1180" s="126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</row>
    <row r="1181" spans="2:26" ht="12.7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26"/>
      <c r="O1181" s="126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</row>
    <row r="1182" spans="2:26" ht="12.7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26"/>
      <c r="O1182" s="126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</row>
    <row r="1183" spans="2:26" ht="12.7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26"/>
      <c r="O1183" s="126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</row>
    <row r="1184" spans="2:26" ht="12.7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26"/>
      <c r="O1184" s="126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</row>
    <row r="1185" spans="2:26" ht="12.7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26"/>
      <c r="O1185" s="126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</row>
    <row r="1186" spans="2:26" ht="12.7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26"/>
      <c r="O1186" s="126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</row>
    <row r="1187" spans="2:26" ht="12.7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26"/>
      <c r="O1187" s="126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</row>
    <row r="1188" spans="2:26" ht="12.7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26"/>
      <c r="O1188" s="126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</row>
    <row r="1189" spans="2:26" ht="12.7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26"/>
      <c r="O1189" s="126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</row>
    <row r="1190" spans="2:26" ht="12.7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26"/>
      <c r="O1190" s="126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</row>
    <row r="1191" spans="2:26" ht="12.7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26"/>
      <c r="O1191" s="126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</row>
    <row r="1192" spans="2:26" ht="12.7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26"/>
      <c r="O1192" s="126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</row>
    <row r="1193" spans="2:26" ht="12.7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26"/>
      <c r="O1193" s="126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</row>
    <row r="1194" spans="2:26" ht="12.7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26"/>
      <c r="O1194" s="126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</row>
    <row r="1195" spans="2:26" ht="12.7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26"/>
      <c r="O1195" s="126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</row>
    <row r="1196" spans="2:26" ht="12.7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26"/>
      <c r="O1196" s="126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</row>
    <row r="1197" spans="2:26" ht="12.7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26"/>
      <c r="O1197" s="126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</row>
  </sheetData>
  <sheetProtection password="CCA6" sheet="1" objects="1" scenarios="1"/>
  <mergeCells count="6">
    <mergeCell ref="C26:K26"/>
    <mergeCell ref="C27:K27"/>
    <mergeCell ref="C28:L28"/>
    <mergeCell ref="J22:L22"/>
    <mergeCell ref="J12:L12"/>
    <mergeCell ref="B2:L2"/>
  </mergeCells>
  <hyperlinks>
    <hyperlink ref="J22:L22" location="CostSummary!A1" display="(Click here to see calculation)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1"/>
  <sheetViews>
    <sheetView showRowColHeaders="0" workbookViewId="0" topLeftCell="A1">
      <selection activeCell="H19" sqref="H19:I19"/>
    </sheetView>
  </sheetViews>
  <sheetFormatPr defaultColWidth="9.140625" defaultRowHeight="12.75"/>
  <cols>
    <col min="1" max="1" width="1.8515625" style="5" customWidth="1"/>
    <col min="2" max="2" width="23.7109375" style="0" customWidth="1"/>
    <col min="3" max="3" width="12.00390625" style="0" customWidth="1"/>
    <col min="4" max="4" width="16.7109375" style="0" customWidth="1"/>
    <col min="5" max="5" width="7.7109375" style="0" customWidth="1"/>
    <col min="6" max="6" width="16.57421875" style="0" customWidth="1"/>
    <col min="7" max="7" width="5.57421875" style="0" customWidth="1"/>
    <col min="8" max="8" width="11.00390625" style="0" customWidth="1"/>
    <col min="9" max="9" width="7.8515625" style="0" customWidth="1"/>
    <col min="10" max="10" width="8.140625" style="0" customWidth="1"/>
    <col min="13" max="13" width="10.28125" style="0" customWidth="1"/>
  </cols>
  <sheetData>
    <row r="1" s="5" customFormat="1" ht="8.25" customHeight="1" thickBot="1"/>
    <row r="2" spans="1:24" s="11" customFormat="1" ht="24" thickBot="1">
      <c r="A2" s="10"/>
      <c r="B2" s="152" t="s">
        <v>32</v>
      </c>
      <c r="C2" s="153"/>
      <c r="D2" s="153"/>
      <c r="E2" s="153"/>
      <c r="F2" s="153"/>
      <c r="G2" s="153"/>
      <c r="H2" s="153"/>
      <c r="I2" s="153"/>
      <c r="J2" s="153"/>
      <c r="K2" s="15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" customFormat="1" ht="18.75" customHeight="1">
      <c r="A3" s="3"/>
      <c r="B3" s="39" t="s">
        <v>0</v>
      </c>
      <c r="C3" s="107">
        <v>12</v>
      </c>
      <c r="D3" s="80" t="s">
        <v>43</v>
      </c>
      <c r="E3" s="40"/>
      <c r="F3" s="41"/>
      <c r="G3" s="42"/>
      <c r="H3" s="43"/>
      <c r="I3" s="44"/>
      <c r="J3" s="44"/>
      <c r="K3" s="45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8.75" customHeight="1">
      <c r="A4" s="3"/>
      <c r="B4" s="46" t="s">
        <v>5</v>
      </c>
      <c r="C4" s="47">
        <v>0.22</v>
      </c>
      <c r="D4" s="116" t="s">
        <v>64</v>
      </c>
      <c r="E4" s="56"/>
      <c r="F4" s="56"/>
      <c r="G4" s="49">
        <v>0.05</v>
      </c>
      <c r="H4" s="52"/>
      <c r="I4" s="52"/>
      <c r="J4" s="53"/>
      <c r="K4" s="5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1" customFormat="1" ht="15.75" customHeight="1">
      <c r="A5" s="3"/>
      <c r="B5" s="106" t="s">
        <v>59</v>
      </c>
      <c r="C5" s="105">
        <f>IF(ROI!O8=0,1,ROI!O8)</f>
        <v>1</v>
      </c>
      <c r="D5" s="155" t="s">
        <v>60</v>
      </c>
      <c r="E5" s="156"/>
      <c r="F5" s="156"/>
      <c r="G5" s="105">
        <f>5*users</f>
        <v>5</v>
      </c>
      <c r="H5" s="53" t="s">
        <v>61</v>
      </c>
      <c r="I5" s="52"/>
      <c r="J5" s="53"/>
      <c r="K5" s="5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" customFormat="1" ht="15.75" customHeight="1">
      <c r="A6" s="3"/>
      <c r="B6" s="140" t="s">
        <v>62</v>
      </c>
      <c r="C6" s="103"/>
      <c r="D6" s="55"/>
      <c r="E6" s="55"/>
      <c r="F6" s="117">
        <f>Addone!C18-CostSummary!D19</f>
        <v>32.608333333333235</v>
      </c>
      <c r="G6" s="52"/>
      <c r="H6" s="56"/>
      <c r="I6" s="104"/>
      <c r="J6" s="53"/>
      <c r="K6" s="5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" customFormat="1" ht="5.25" customHeight="1">
      <c r="A7" s="3"/>
      <c r="B7" s="46"/>
      <c r="C7" s="93"/>
      <c r="D7" s="55"/>
      <c r="E7" s="55"/>
      <c r="F7" s="56"/>
      <c r="G7" s="52"/>
      <c r="H7" s="52"/>
      <c r="I7" s="53"/>
      <c r="J7" s="53"/>
      <c r="K7" s="54"/>
      <c r="L7" s="4"/>
      <c r="M7" s="4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52.5" customHeight="1" hidden="1">
      <c r="B8" s="57"/>
      <c r="C8" s="58" t="s">
        <v>21</v>
      </c>
      <c r="D8" s="58" t="s">
        <v>18</v>
      </c>
      <c r="E8" s="58" t="s">
        <v>20</v>
      </c>
      <c r="F8" s="7" t="s">
        <v>8</v>
      </c>
      <c r="G8" s="7" t="str">
        <f>"="</f>
        <v>=</v>
      </c>
      <c r="H8" s="58" t="s">
        <v>19</v>
      </c>
      <c r="I8" s="55"/>
      <c r="J8" s="6"/>
      <c r="K8" s="59"/>
      <c r="L8" s="5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5" hidden="1">
      <c r="B9" s="57" t="str">
        <f>"Self-Hosting Fee"</f>
        <v>Self-Hosting Fee</v>
      </c>
      <c r="C9" s="6"/>
      <c r="D9" s="60">
        <f>IF(C22="Yes",Base!B11,0)</f>
        <v>0</v>
      </c>
      <c r="E9" s="61">
        <v>0</v>
      </c>
      <c r="F9" s="60">
        <f>D9*(1-E9)*maintenance</f>
        <v>0</v>
      </c>
      <c r="G9" s="62"/>
      <c r="H9" s="60">
        <f>(D9*(1-E9))+SUM(F9)</f>
        <v>0</v>
      </c>
      <c r="I9" s="6"/>
      <c r="J9" s="6"/>
      <c r="K9" s="5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ht="15" hidden="1">
      <c r="B10" s="57" t="s">
        <v>48</v>
      </c>
      <c r="C10" s="6"/>
      <c r="D10" s="60">
        <f>IF(C22="No",Base!B12*term/12,0)</f>
        <v>866.6666666666666</v>
      </c>
      <c r="E10" s="61">
        <f>LOOKUP(Base!E9,Base!A3:A8,Base!B3:B8)</f>
        <v>0</v>
      </c>
      <c r="F10" s="60">
        <f>D10*(1-E10)*maintenance</f>
        <v>190.66666666666666</v>
      </c>
      <c r="G10" s="62"/>
      <c r="H10" s="60">
        <f>(D10*(1-E10))+SUM(F10)</f>
        <v>1057.3333333333333</v>
      </c>
      <c r="I10" s="6"/>
      <c r="J10" s="6"/>
      <c r="K10" s="5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ht="15" hidden="1">
      <c r="B11" s="57" t="s">
        <v>37</v>
      </c>
      <c r="C11" s="6"/>
      <c r="D11" s="60">
        <f>Base!B13*users</f>
        <v>533.3333333333333</v>
      </c>
      <c r="E11" s="61">
        <v>0</v>
      </c>
      <c r="F11" s="60">
        <f>D11*(1-E11)*maintenance</f>
        <v>117.33333333333331</v>
      </c>
      <c r="G11" s="62"/>
      <c r="H11" s="60">
        <f>(D11*(1-E11))+SUM(F11)</f>
        <v>650.6666666666665</v>
      </c>
      <c r="I11" s="6"/>
      <c r="J11" s="6"/>
      <c r="K11" s="5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15" hidden="1">
      <c r="B12" s="57" t="s">
        <v>4</v>
      </c>
      <c r="C12" s="6"/>
      <c r="D12" s="60">
        <f>Base!B14*users*term/12</f>
        <v>100</v>
      </c>
      <c r="E12" s="61">
        <f>LOOKUP(Base!E9,Base!A3:A8,Base!B3:B8)</f>
        <v>0</v>
      </c>
      <c r="F12" s="60">
        <f>D12*(1-E12)*maintenance</f>
        <v>22</v>
      </c>
      <c r="G12" s="62"/>
      <c r="H12" s="60">
        <f>(D12*(1-E12))+SUM(F12)</f>
        <v>122</v>
      </c>
      <c r="I12" s="6"/>
      <c r="J12" s="6"/>
      <c r="K12" s="5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24" ht="15" hidden="1">
      <c r="B13" s="57" t="s">
        <v>47</v>
      </c>
      <c r="C13" s="6"/>
      <c r="D13" s="60">
        <f>Base!B15*term/12</f>
        <v>800</v>
      </c>
      <c r="E13" s="61">
        <f>LOOKUP(Base!E9,Base!A3:A8,Base!B3:B8)</f>
        <v>0</v>
      </c>
      <c r="F13" s="60" t="s">
        <v>24</v>
      </c>
      <c r="G13" s="62"/>
      <c r="H13" s="60">
        <f>(D13*(1-E13))+SUM(F13)</f>
        <v>800</v>
      </c>
      <c r="I13" s="6"/>
      <c r="J13" s="6"/>
      <c r="K13" s="5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15">
      <c r="B14" s="57" t="s">
        <v>68</v>
      </c>
      <c r="C14" s="6"/>
      <c r="D14" s="119">
        <v>3600</v>
      </c>
      <c r="E14" s="121" t="s">
        <v>72</v>
      </c>
      <c r="F14" s="95"/>
      <c r="G14" s="96"/>
      <c r="H14" s="95">
        <f>D14</f>
        <v>3600</v>
      </c>
      <c r="I14" s="6"/>
      <c r="J14" s="6"/>
      <c r="K14" s="5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2:24" ht="15">
      <c r="B15" s="57" t="s">
        <v>65</v>
      </c>
      <c r="C15" s="6"/>
      <c r="D15" s="120"/>
      <c r="E15" s="121" t="s">
        <v>73</v>
      </c>
      <c r="F15" s="95"/>
      <c r="G15" s="96"/>
      <c r="H15" s="95">
        <f>(D15*term)</f>
        <v>0</v>
      </c>
      <c r="I15" s="6"/>
      <c r="J15" s="6"/>
      <c r="K15" s="5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2:24" ht="6.75" customHeight="1">
      <c r="B16" s="57"/>
      <c r="C16" s="6"/>
      <c r="D16" s="97"/>
      <c r="E16" s="94"/>
      <c r="F16" s="95"/>
      <c r="G16" s="96"/>
      <c r="H16" s="95"/>
      <c r="I16" s="6"/>
      <c r="J16" s="6"/>
      <c r="K16" s="5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2:24" ht="16.5" thickBot="1">
      <c r="B17" s="57"/>
      <c r="C17" s="76" t="s">
        <v>69</v>
      </c>
      <c r="D17" s="32"/>
      <c r="E17" s="61"/>
      <c r="F17" s="60"/>
      <c r="G17" s="62"/>
      <c r="H17" s="60"/>
      <c r="I17" s="6"/>
      <c r="J17" s="6"/>
      <c r="K17" s="5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6.5" thickBot="1">
      <c r="B18" s="63"/>
      <c r="C18" s="77" t="s">
        <v>38</v>
      </c>
      <c r="D18" s="74">
        <f>users*Base!F13</f>
        <v>400</v>
      </c>
      <c r="E18" s="78" t="s">
        <v>42</v>
      </c>
      <c r="F18" s="98"/>
      <c r="G18" s="62"/>
      <c r="H18" s="60"/>
      <c r="I18" s="6"/>
      <c r="J18" s="6"/>
      <c r="K18" s="5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16.5" thickBot="1">
      <c r="B19" s="63"/>
      <c r="C19" s="75" t="s">
        <v>40</v>
      </c>
      <c r="D19" s="72">
        <f>(SUM(H9:H15)-D18)*(1+G4)/term</f>
        <v>510.125</v>
      </c>
      <c r="E19" s="73" t="s">
        <v>51</v>
      </c>
      <c r="F19" s="99"/>
      <c r="G19" s="9"/>
      <c r="H19" s="157" t="s">
        <v>82</v>
      </c>
      <c r="I19" s="158"/>
      <c r="J19" s="6"/>
      <c r="K19" s="5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16.5" thickBot="1">
      <c r="B20" s="64" t="s">
        <v>12</v>
      </c>
      <c r="C20" s="12">
        <f>1-(D20/(D19*12))</f>
        <v>0.04761904761904767</v>
      </c>
      <c r="D20" s="13">
        <f>(SUM(H9:H15)-D18)*12/term</f>
        <v>5830</v>
      </c>
      <c r="E20" s="79" t="s">
        <v>39</v>
      </c>
      <c r="F20" s="14"/>
      <c r="G20" s="6"/>
      <c r="H20" s="6"/>
      <c r="I20" s="6"/>
      <c r="J20" s="6"/>
      <c r="K20" s="5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ht="15">
      <c r="B21" s="65"/>
      <c r="C21" s="34" t="s">
        <v>46</v>
      </c>
      <c r="D21" s="9"/>
      <c r="E21" s="7"/>
      <c r="F21" s="9"/>
      <c r="G21" s="7"/>
      <c r="H21" s="7"/>
      <c r="I21" s="6"/>
      <c r="J21" s="6"/>
      <c r="K21" s="5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ht="15.75">
      <c r="B22" s="57" t="s">
        <v>30</v>
      </c>
      <c r="C22" s="38" t="s">
        <v>27</v>
      </c>
      <c r="D22" s="118" t="s">
        <v>67</v>
      </c>
      <c r="E22" s="7"/>
      <c r="F22" s="8"/>
      <c r="G22" s="9"/>
      <c r="H22" s="9"/>
      <c r="I22" s="9"/>
      <c r="J22" s="6"/>
      <c r="K22" s="5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ht="15">
      <c r="B23" s="57" t="s">
        <v>66</v>
      </c>
      <c r="C23" s="6"/>
      <c r="D23" s="6"/>
      <c r="E23" s="6"/>
      <c r="F23" s="6"/>
      <c r="G23" s="6"/>
      <c r="H23" s="6"/>
      <c r="I23" s="6"/>
      <c r="J23" s="6"/>
      <c r="K23" s="5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15">
      <c r="B24" s="57" t="s">
        <v>71</v>
      </c>
      <c r="C24" s="8"/>
      <c r="D24" s="6"/>
      <c r="E24" s="6"/>
      <c r="F24" s="6"/>
      <c r="G24" s="6"/>
      <c r="H24" s="6"/>
      <c r="I24" s="6"/>
      <c r="J24" s="6"/>
      <c r="K24" s="5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4" ht="15">
      <c r="B25" s="57" t="s">
        <v>70</v>
      </c>
      <c r="C25" s="34"/>
      <c r="D25" s="6"/>
      <c r="E25" s="6"/>
      <c r="F25" s="6"/>
      <c r="G25" s="6"/>
      <c r="H25" s="6"/>
      <c r="I25" s="6"/>
      <c r="J25" s="6"/>
      <c r="K25" s="5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ht="5.25" customHeight="1" thickBot="1">
      <c r="B26" s="66"/>
      <c r="C26" s="67"/>
      <c r="D26" s="67"/>
      <c r="E26" s="67"/>
      <c r="F26" s="67"/>
      <c r="G26" s="67"/>
      <c r="H26" s="67"/>
      <c r="I26" s="67"/>
      <c r="J26" s="67"/>
      <c r="K26" s="6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4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4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</sheetData>
  <sheetProtection password="CCA6" sheet="1" objects="1" scenarios="1"/>
  <mergeCells count="3">
    <mergeCell ref="B2:K2"/>
    <mergeCell ref="D5:F5"/>
    <mergeCell ref="H19:I19"/>
  </mergeCells>
  <dataValidations count="1">
    <dataValidation type="list" allowBlank="1" showInputMessage="1" showErrorMessage="1" sqref="C22">
      <formula1>host</formula1>
    </dataValidation>
  </dataValidations>
  <hyperlinks>
    <hyperlink ref="H19:I19" location="ROI!A1" display="Click back to ROI"/>
  </hyperlinks>
  <printOptions/>
  <pageMargins left="1.39" right="0.37" top="1" bottom="1" header="0.5" footer="0.5"/>
  <pageSetup orientation="landscape" paperSize="9" r:id="rId1"/>
  <ignoredErrors>
    <ignoredError sqref="G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RowColHeaders="0" workbookViewId="0" topLeftCell="A23">
      <selection activeCell="A1" sqref="A1:IV22"/>
    </sheetView>
  </sheetViews>
  <sheetFormatPr defaultColWidth="9.140625" defaultRowHeight="12.75"/>
  <cols>
    <col min="1" max="1" width="23.7109375" style="0" customWidth="1"/>
    <col min="2" max="2" width="12.00390625" style="0" customWidth="1"/>
    <col min="3" max="3" width="16.7109375" style="0" customWidth="1"/>
    <col min="4" max="4" width="7.7109375" style="0" customWidth="1"/>
    <col min="5" max="5" width="16.57421875" style="0" customWidth="1"/>
    <col min="6" max="6" width="5.57421875" style="0" customWidth="1"/>
    <col min="7" max="7" width="11.00390625" style="0" customWidth="1"/>
    <col min="8" max="8" width="7.8515625" style="0" customWidth="1"/>
    <col min="9" max="9" width="8.140625" style="0" customWidth="1"/>
  </cols>
  <sheetData>
    <row r="1" spans="1:10" ht="24" hidden="1" thickBot="1">
      <c r="A1" s="159" t="s">
        <v>63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ht="20.25" hidden="1">
      <c r="A2" s="39" t="s">
        <v>0</v>
      </c>
      <c r="B2" s="107">
        <f>term</f>
        <v>12</v>
      </c>
      <c r="C2" s="80" t="s">
        <v>43</v>
      </c>
      <c r="D2" s="40"/>
      <c r="E2" s="41"/>
      <c r="F2" s="42"/>
      <c r="G2" s="43"/>
      <c r="H2" s="44"/>
      <c r="I2" s="44"/>
      <c r="J2" s="45"/>
    </row>
    <row r="3" spans="1:10" ht="20.25" hidden="1">
      <c r="A3" s="46" t="s">
        <v>5</v>
      </c>
      <c r="B3" s="47">
        <f>maintenance</f>
        <v>0.22</v>
      </c>
      <c r="C3" s="48" t="s">
        <v>7</v>
      </c>
      <c r="D3" s="49">
        <v>0.05</v>
      </c>
      <c r="E3" s="50" t="s">
        <v>6</v>
      </c>
      <c r="F3" s="51"/>
      <c r="G3" s="52"/>
      <c r="H3" s="52"/>
      <c r="I3" s="53"/>
      <c r="J3" s="54"/>
    </row>
    <row r="4" spans="1:10" ht="20.25" hidden="1">
      <c r="A4" s="106" t="s">
        <v>59</v>
      </c>
      <c r="B4" s="105">
        <f>users+D4</f>
        <v>2</v>
      </c>
      <c r="C4" s="100"/>
      <c r="D4" s="113">
        <v>1</v>
      </c>
      <c r="E4" s="101"/>
      <c r="F4" s="112"/>
      <c r="G4" s="53"/>
      <c r="H4" s="52"/>
      <c r="I4" s="53"/>
      <c r="J4" s="54"/>
    </row>
    <row r="5" spans="1:10" ht="12.75" hidden="1">
      <c r="A5" s="102"/>
      <c r="B5" s="103"/>
      <c r="C5" s="55"/>
      <c r="D5" s="55"/>
      <c r="E5" s="55"/>
      <c r="F5" s="93"/>
      <c r="G5" s="53"/>
      <c r="H5" s="104"/>
      <c r="I5" s="53"/>
      <c r="J5" s="54"/>
    </row>
    <row r="6" spans="1:10" ht="20.25" hidden="1">
      <c r="A6" s="46"/>
      <c r="B6" s="93"/>
      <c r="C6" s="55"/>
      <c r="D6" s="55"/>
      <c r="E6" s="56"/>
      <c r="F6" s="52"/>
      <c r="G6" s="52"/>
      <c r="H6" s="53"/>
      <c r="I6" s="53"/>
      <c r="J6" s="54"/>
    </row>
    <row r="7" spans="1:10" ht="38.25" hidden="1">
      <c r="A7" s="57"/>
      <c r="B7" s="58" t="s">
        <v>21</v>
      </c>
      <c r="C7" s="58" t="s">
        <v>18</v>
      </c>
      <c r="D7" s="58" t="s">
        <v>20</v>
      </c>
      <c r="E7" s="7" t="s">
        <v>8</v>
      </c>
      <c r="F7" s="7" t="str">
        <f>"="</f>
        <v>=</v>
      </c>
      <c r="G7" s="58" t="s">
        <v>19</v>
      </c>
      <c r="H7" s="55"/>
      <c r="I7" s="6"/>
      <c r="J7" s="59"/>
    </row>
    <row r="8" spans="1:10" ht="15" hidden="1">
      <c r="A8" s="57" t="str">
        <f>"Self-Hosting Fee"</f>
        <v>Self-Hosting Fee</v>
      </c>
      <c r="B8" s="6"/>
      <c r="C8" s="60">
        <f>IF(B21="Yes",Base!B11,0)</f>
        <v>0</v>
      </c>
      <c r="D8" s="61">
        <v>0</v>
      </c>
      <c r="E8" s="60">
        <f>C8*(1-D8)*maintenance</f>
        <v>0</v>
      </c>
      <c r="F8" s="62"/>
      <c r="G8" s="60">
        <f>(C8*(1-D8))+SUM(E8)</f>
        <v>0</v>
      </c>
      <c r="H8" s="6"/>
      <c r="I8" s="6"/>
      <c r="J8" s="59"/>
    </row>
    <row r="9" spans="1:10" ht="15" hidden="1">
      <c r="A9" s="57" t="s">
        <v>48</v>
      </c>
      <c r="B9" s="6"/>
      <c r="C9" s="60">
        <f>IF(B21="No",Base!B12*term/12,0)</f>
        <v>866.6666666666666</v>
      </c>
      <c r="D9" s="61">
        <f>LOOKUP(Base!E9,Base!A3:A8,Base!B3:B8)</f>
        <v>0</v>
      </c>
      <c r="E9" s="60">
        <f>C9*(1-D9)*maintenance</f>
        <v>190.66666666666666</v>
      </c>
      <c r="F9" s="62"/>
      <c r="G9" s="60">
        <f>(C9*(1-D9))+SUM(E9)</f>
        <v>1057.3333333333333</v>
      </c>
      <c r="H9" s="6"/>
      <c r="I9" s="6"/>
      <c r="J9" s="59"/>
    </row>
    <row r="10" spans="1:10" ht="15" hidden="1">
      <c r="A10" s="57" t="s">
        <v>37</v>
      </c>
      <c r="B10" s="6"/>
      <c r="C10" s="60">
        <f>Base!B13*users1</f>
        <v>1066.6666666666665</v>
      </c>
      <c r="D10" s="61">
        <v>0</v>
      </c>
      <c r="E10" s="60">
        <f>C10*(1-D10)*maintenance</f>
        <v>234.66666666666663</v>
      </c>
      <c r="F10" s="62"/>
      <c r="G10" s="60">
        <f>(C10*(1-D10))+SUM(E10)</f>
        <v>1301.333333333333</v>
      </c>
      <c r="H10" s="6"/>
      <c r="I10" s="6"/>
      <c r="J10" s="59"/>
    </row>
    <row r="11" spans="1:10" ht="15" hidden="1">
      <c r="A11" s="57" t="s">
        <v>4</v>
      </c>
      <c r="B11" s="6"/>
      <c r="C11" s="60">
        <f>Base!B14*users1*term/12</f>
        <v>200</v>
      </c>
      <c r="D11" s="61">
        <f>LOOKUP(Base!E9,Base!A3:A8,Base!B3:B8)</f>
        <v>0</v>
      </c>
      <c r="E11" s="60">
        <f>C11*(1-D11)*maintenance</f>
        <v>44</v>
      </c>
      <c r="F11" s="62"/>
      <c r="G11" s="60">
        <f>(C11*(1-D11))+SUM(E11)</f>
        <v>244</v>
      </c>
      <c r="H11" s="6"/>
      <c r="I11" s="6"/>
      <c r="J11" s="59"/>
    </row>
    <row r="12" spans="1:10" ht="15" hidden="1">
      <c r="A12" s="57" t="s">
        <v>47</v>
      </c>
      <c r="B12" s="6"/>
      <c r="C12" s="60">
        <f>Base!B15*term/12</f>
        <v>800</v>
      </c>
      <c r="D12" s="61">
        <f>LOOKUP(Base!E9,Base!A3:A8,Base!B3:B8)</f>
        <v>0</v>
      </c>
      <c r="E12" s="60" t="s">
        <v>24</v>
      </c>
      <c r="F12" s="62"/>
      <c r="G12" s="60">
        <f>(C12*(1-D12))+SUM(E12)</f>
        <v>800</v>
      </c>
      <c r="H12" s="6"/>
      <c r="I12" s="6"/>
      <c r="J12" s="59"/>
    </row>
    <row r="13" spans="1:10" ht="15" hidden="1">
      <c r="A13" s="57" t="s">
        <v>45</v>
      </c>
      <c r="B13" s="6"/>
      <c r="C13" s="115">
        <f>CostSummary!D14</f>
        <v>3600</v>
      </c>
      <c r="D13" s="108">
        <f>LOOKUP(Base!E9,Base!A3:A8,Base!B3:B8)</f>
        <v>0</v>
      </c>
      <c r="E13" s="109" t="s">
        <v>24</v>
      </c>
      <c r="F13" s="110"/>
      <c r="G13" s="109">
        <f>C13</f>
        <v>3600</v>
      </c>
      <c r="H13" s="6"/>
      <c r="I13" s="6"/>
      <c r="J13" s="59"/>
    </row>
    <row r="14" spans="1:10" ht="15" hidden="1">
      <c r="A14" s="57" t="s">
        <v>44</v>
      </c>
      <c r="B14" s="6"/>
      <c r="C14" s="115">
        <f>CostSummary!D15</f>
        <v>0</v>
      </c>
      <c r="D14" s="108">
        <f>LOOKUP(Base!E9,Base!A3:A8,Base!B3:B8)</f>
        <v>0</v>
      </c>
      <c r="E14" s="109" t="s">
        <v>24</v>
      </c>
      <c r="F14" s="110"/>
      <c r="G14" s="109">
        <f>C14*term</f>
        <v>0</v>
      </c>
      <c r="H14" s="6"/>
      <c r="I14" s="6"/>
      <c r="J14" s="59"/>
    </row>
    <row r="15" spans="1:10" ht="15" hidden="1">
      <c r="A15" s="57"/>
      <c r="B15" s="6"/>
      <c r="C15" s="97"/>
      <c r="D15" s="94"/>
      <c r="E15" s="95"/>
      <c r="F15" s="96"/>
      <c r="G15" s="95"/>
      <c r="H15" s="6"/>
      <c r="I15" s="6"/>
      <c r="J15" s="59"/>
    </row>
    <row r="16" spans="1:10" ht="16.5" hidden="1" thickBot="1">
      <c r="A16" s="57"/>
      <c r="B16" s="76" t="s">
        <v>41</v>
      </c>
      <c r="C16" s="32"/>
      <c r="D16" s="61"/>
      <c r="E16" s="60"/>
      <c r="F16" s="62"/>
      <c r="G16" s="60"/>
      <c r="H16" s="6"/>
      <c r="I16" s="6"/>
      <c r="J16" s="59"/>
    </row>
    <row r="17" spans="1:10" ht="15.75" hidden="1">
      <c r="A17" s="63"/>
      <c r="B17" s="77" t="s">
        <v>38</v>
      </c>
      <c r="C17" s="74">
        <f>users1*Base!F13</f>
        <v>800</v>
      </c>
      <c r="D17" s="78" t="s">
        <v>42</v>
      </c>
      <c r="E17" s="98"/>
      <c r="F17" s="62"/>
      <c r="G17" s="60"/>
      <c r="H17" s="6"/>
      <c r="I17" s="6"/>
      <c r="J17" s="59"/>
    </row>
    <row r="18" spans="1:10" ht="16.5" hidden="1" thickBot="1">
      <c r="A18" s="63"/>
      <c r="B18" s="75" t="s">
        <v>40</v>
      </c>
      <c r="C18" s="72">
        <f>(SUM(G8:G14)-C17)*(1+D3)/term</f>
        <v>542.7333333333332</v>
      </c>
      <c r="D18" s="73" t="s">
        <v>51</v>
      </c>
      <c r="E18" s="99"/>
      <c r="F18" s="9"/>
      <c r="G18" s="9"/>
      <c r="H18" s="9"/>
      <c r="I18" s="6"/>
      <c r="J18" s="59"/>
    </row>
    <row r="19" spans="1:10" ht="16.5" hidden="1" thickBot="1">
      <c r="A19" s="111" t="s">
        <v>12</v>
      </c>
      <c r="B19" s="12">
        <f>1-(C19/(C18*12))</f>
        <v>0.04761904761904745</v>
      </c>
      <c r="C19" s="13">
        <f>(SUM(G8:G14)-C17)*12/term</f>
        <v>6202.666666666667</v>
      </c>
      <c r="D19" s="79" t="s">
        <v>39</v>
      </c>
      <c r="E19" s="14"/>
      <c r="F19" s="67"/>
      <c r="G19" s="67"/>
      <c r="H19" s="67"/>
      <c r="I19" s="67"/>
      <c r="J19" s="68"/>
    </row>
    <row r="20" ht="12.75" hidden="1"/>
    <row r="21" spans="1:2" ht="15" hidden="1">
      <c r="A21" s="57" t="s">
        <v>30</v>
      </c>
      <c r="B21" s="114" t="str">
        <f>CostSummary!C22</f>
        <v>No</v>
      </c>
    </row>
    <row r="22" ht="12.75" hidden="1"/>
  </sheetData>
  <sheetProtection password="CCA6" sheet="1" objects="1" scenarios="1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RowColHeaders="0" workbookViewId="0" topLeftCell="A25">
      <selection activeCell="A1" sqref="A1:IV24"/>
    </sheetView>
  </sheetViews>
  <sheetFormatPr defaultColWidth="9.140625" defaultRowHeight="12.75"/>
  <cols>
    <col min="1" max="1" width="13.421875" style="0" customWidth="1"/>
    <col min="3" max="3" width="11.57421875" style="0" customWidth="1"/>
    <col min="6" max="6" width="9.140625" style="28" customWidth="1"/>
    <col min="7" max="8" width="13.00390625" style="28" customWidth="1"/>
  </cols>
  <sheetData>
    <row r="1" spans="1:8" s="2" customFormat="1" ht="12.75" hidden="1">
      <c r="A1" s="2" t="s">
        <v>1</v>
      </c>
      <c r="F1" s="27"/>
      <c r="G1" s="27"/>
      <c r="H1" s="27"/>
    </row>
    <row r="2" spans="1:8" s="2" customFormat="1" ht="12.75" hidden="1">
      <c r="A2" s="27" t="s">
        <v>16</v>
      </c>
      <c r="B2" s="15" t="s">
        <v>13</v>
      </c>
      <c r="C2" s="15" t="s">
        <v>14</v>
      </c>
      <c r="D2" s="15" t="s">
        <v>15</v>
      </c>
      <c r="F2" s="27"/>
      <c r="G2" s="27"/>
      <c r="H2" s="27"/>
    </row>
    <row r="3" spans="1:5" ht="12.75" hidden="1">
      <c r="A3" s="28">
        <v>1</v>
      </c>
      <c r="B3" s="30">
        <v>0</v>
      </c>
      <c r="C3" s="26" t="str">
        <f>"&lt;5"</f>
        <v>&lt;5</v>
      </c>
      <c r="D3">
        <f>IF(AND(users&gt;0,users&lt;5),1,0)</f>
        <v>1</v>
      </c>
      <c r="E3">
        <f aca="true" t="shared" si="0" ref="E3:E8">IF(D3=1,A3,0)</f>
        <v>1</v>
      </c>
    </row>
    <row r="4" spans="1:5" ht="12.75" hidden="1">
      <c r="A4" s="28">
        <v>2</v>
      </c>
      <c r="B4" s="30">
        <v>0.05</v>
      </c>
      <c r="C4" s="25" t="str">
        <f>"5-9"</f>
        <v>5-9</v>
      </c>
      <c r="D4">
        <f>IF(AND(users&gt;4,users&lt;10),1,0)</f>
        <v>0</v>
      </c>
      <c r="E4">
        <f t="shared" si="0"/>
        <v>0</v>
      </c>
    </row>
    <row r="5" spans="1:5" ht="12.75" hidden="1">
      <c r="A5" s="28">
        <v>3</v>
      </c>
      <c r="B5" s="30">
        <v>0.1</v>
      </c>
      <c r="C5" s="25" t="str">
        <f>"10-14"</f>
        <v>10-14</v>
      </c>
      <c r="D5">
        <f>IF(AND(users&gt;9,users&lt;15),1,0)</f>
        <v>0</v>
      </c>
      <c r="E5">
        <f t="shared" si="0"/>
        <v>0</v>
      </c>
    </row>
    <row r="6" spans="1:5" ht="12.75" hidden="1">
      <c r="A6" s="28">
        <v>4</v>
      </c>
      <c r="B6" s="30">
        <v>0.15</v>
      </c>
      <c r="C6" s="25" t="str">
        <f>"15-19"</f>
        <v>15-19</v>
      </c>
      <c r="D6">
        <f>IF(AND(users&gt;14,users&lt;20),1,0)</f>
        <v>0</v>
      </c>
      <c r="E6">
        <f t="shared" si="0"/>
        <v>0</v>
      </c>
    </row>
    <row r="7" spans="1:5" ht="12.75" hidden="1">
      <c r="A7" s="28">
        <v>5</v>
      </c>
      <c r="B7" s="30">
        <v>0.2</v>
      </c>
      <c r="C7" s="25" t="str">
        <f>"20-49"</f>
        <v>20-49</v>
      </c>
      <c r="D7">
        <f>IF(AND(users&gt;19,users&lt;50),1,0)</f>
        <v>0</v>
      </c>
      <c r="E7">
        <f t="shared" si="0"/>
        <v>0</v>
      </c>
    </row>
    <row r="8" spans="1:5" ht="12.75" hidden="1">
      <c r="A8" s="28">
        <v>6</v>
      </c>
      <c r="B8" s="30">
        <v>0.25</v>
      </c>
      <c r="C8" s="26" t="str">
        <f>"&gt;50"</f>
        <v>&gt;50</v>
      </c>
      <c r="D8">
        <f>IF(users&gt;=50,1,0)</f>
        <v>0</v>
      </c>
      <c r="E8">
        <f t="shared" si="0"/>
        <v>0</v>
      </c>
    </row>
    <row r="9" spans="1:6" ht="12.75" hidden="1">
      <c r="A9" s="16"/>
      <c r="B9" s="16"/>
      <c r="C9" s="16"/>
      <c r="D9" s="29" t="s">
        <v>17</v>
      </c>
      <c r="E9" s="16">
        <f>SUM(E3:E8)</f>
        <v>1</v>
      </c>
      <c r="F9" s="81"/>
    </row>
    <row r="10" spans="1:13" ht="38.25" hidden="1">
      <c r="A10" s="18" t="s">
        <v>33</v>
      </c>
      <c r="B10" s="19"/>
      <c r="C10" s="20"/>
      <c r="D10" s="21"/>
      <c r="E10" s="20"/>
      <c r="F10" s="82" t="s">
        <v>53</v>
      </c>
      <c r="G10" s="83" t="s">
        <v>52</v>
      </c>
      <c r="H10" s="84" t="s">
        <v>54</v>
      </c>
      <c r="L10" s="139" t="s">
        <v>49</v>
      </c>
      <c r="M10" s="122"/>
    </row>
    <row r="11" spans="1:13" ht="12.75" hidden="1">
      <c r="A11" s="23" t="str">
        <f>"@Net Licence"</f>
        <v>@Net Licence</v>
      </c>
      <c r="B11" s="31">
        <f>F11*markup</f>
        <v>3333.333333333333</v>
      </c>
      <c r="C11" s="17" t="s">
        <v>2</v>
      </c>
      <c r="D11" s="17"/>
      <c r="E11" s="17"/>
      <c r="F11" s="70">
        <v>2500</v>
      </c>
      <c r="G11" s="69">
        <f>IF(CostSummary!C22="Yes",Base!F11,0)</f>
        <v>0</v>
      </c>
      <c r="H11" s="69">
        <f>IF(G11=0,0,F11*maintenance*term/12)</f>
        <v>0</v>
      </c>
      <c r="I11" t="s">
        <v>35</v>
      </c>
      <c r="L11" s="164">
        <f>IF(CostSummary!H9=0,0,(CostSummary!H9-Base!G11-Base!H11+CostSummary!F9))</f>
        <v>0</v>
      </c>
      <c r="M11" s="138"/>
    </row>
    <row r="12" spans="1:13" ht="12.75" hidden="1">
      <c r="A12" s="23" t="s">
        <v>48</v>
      </c>
      <c r="B12" s="31">
        <f>F12*markup</f>
        <v>866.6666666666666</v>
      </c>
      <c r="C12" s="17" t="s">
        <v>9</v>
      </c>
      <c r="D12" s="17"/>
      <c r="E12" s="17"/>
      <c r="F12" s="70">
        <v>650</v>
      </c>
      <c r="G12" s="69">
        <f>IF(CostSummary!C22="No",(Base!F12*term/12),0)</f>
        <v>650</v>
      </c>
      <c r="H12" s="69">
        <f>IF(G12=0,0,F12*maintenance*term/12)</f>
        <v>143</v>
      </c>
      <c r="I12" t="s">
        <v>50</v>
      </c>
      <c r="L12" s="164">
        <f>IF(CostSummary!H10=0,0,(CostSummary!H10-Base!G12-Base!H12+CostSummary!F10))</f>
        <v>454.9999999999999</v>
      </c>
      <c r="M12" s="138"/>
    </row>
    <row r="13" spans="1:13" ht="12.75" hidden="1">
      <c r="A13" s="23" t="s">
        <v>3</v>
      </c>
      <c r="B13" s="31">
        <f>F13*markup</f>
        <v>533.3333333333333</v>
      </c>
      <c r="C13" s="17" t="s">
        <v>31</v>
      </c>
      <c r="D13" s="17"/>
      <c r="E13" s="17"/>
      <c r="F13" s="70">
        <v>400</v>
      </c>
      <c r="G13" s="69">
        <f>F13*users</f>
        <v>400</v>
      </c>
      <c r="H13" s="69">
        <f>IF(G13=0,0,G13*maintenance*term/12)</f>
        <v>88</v>
      </c>
      <c r="I13" s="17" t="s">
        <v>31</v>
      </c>
      <c r="L13" s="164">
        <f>IF(CostSummary!H11=0,0,(CostSummary!H11-Base!G13-Base!H13+CostSummary!F11))</f>
        <v>279.99999999999983</v>
      </c>
      <c r="M13" s="138"/>
    </row>
    <row r="14" spans="1:13" ht="12.75" hidden="1">
      <c r="A14" s="23" t="s">
        <v>4</v>
      </c>
      <c r="B14" s="31">
        <f>F14*10</f>
        <v>100</v>
      </c>
      <c r="C14" s="17" t="s">
        <v>9</v>
      </c>
      <c r="D14" s="17"/>
      <c r="E14" s="17"/>
      <c r="F14" s="70">
        <v>10</v>
      </c>
      <c r="G14" s="69">
        <f>F14*users*term/12</f>
        <v>10</v>
      </c>
      <c r="H14" s="69">
        <v>0</v>
      </c>
      <c r="I14" s="17" t="s">
        <v>9</v>
      </c>
      <c r="L14" s="164">
        <f>IF(CostSummary!H12=0,0,(CostSummary!H12-Base!G14-Base!H14+CostSummary!F12))</f>
        <v>134</v>
      </c>
      <c r="M14" s="138"/>
    </row>
    <row r="15" spans="1:13" ht="12.75" hidden="1">
      <c r="A15" s="23" t="s">
        <v>10</v>
      </c>
      <c r="B15" s="31">
        <f>F15*markup</f>
        <v>800</v>
      </c>
      <c r="C15" s="17" t="s">
        <v>11</v>
      </c>
      <c r="D15" s="17"/>
      <c r="E15" s="17"/>
      <c r="F15" s="70">
        <v>600</v>
      </c>
      <c r="G15" s="69">
        <f>F15*term/12</f>
        <v>600</v>
      </c>
      <c r="H15" s="69">
        <v>0</v>
      </c>
      <c r="I15" s="17" t="s">
        <v>34</v>
      </c>
      <c r="L15" s="164">
        <f>IF(CostSummary!H13=0,0,(CostSummary!H13-Base!G15-Base!H15))</f>
        <v>200</v>
      </c>
      <c r="M15" s="138"/>
    </row>
    <row r="16" spans="1:13" ht="12.75" hidden="1">
      <c r="A16" s="33" t="s">
        <v>22</v>
      </c>
      <c r="B16" s="85">
        <f>IF(CostSummary!D14=0,0,CostSummary!D14)</f>
        <v>3600</v>
      </c>
      <c r="C16" s="24" t="s">
        <v>23</v>
      </c>
      <c r="D16" s="24"/>
      <c r="E16" s="24"/>
      <c r="F16" s="86">
        <f>B16/markup</f>
        <v>2700</v>
      </c>
      <c r="G16" s="69">
        <f>F16</f>
        <v>2700</v>
      </c>
      <c r="H16" s="69">
        <v>0</v>
      </c>
      <c r="I16" t="s">
        <v>35</v>
      </c>
      <c r="L16" s="164">
        <f>IF(CostSummary!H14=0,0,(CostSummary!H14-Base!G16-Base!H16))</f>
        <v>900</v>
      </c>
      <c r="M16" s="138"/>
    </row>
    <row r="17" spans="1:13" ht="12.75" hidden="1">
      <c r="A17" s="33" t="s">
        <v>55</v>
      </c>
      <c r="B17" s="85">
        <f>IF(CostSummary!D15=0,0,CostSummary!D15)</f>
        <v>0</v>
      </c>
      <c r="C17" s="24" t="s">
        <v>23</v>
      </c>
      <c r="D17" s="24"/>
      <c r="E17" s="24"/>
      <c r="F17" s="86">
        <f>B17/markup</f>
        <v>0</v>
      </c>
      <c r="G17" s="69">
        <f>F17</f>
        <v>0</v>
      </c>
      <c r="H17" s="69">
        <v>0</v>
      </c>
      <c r="I17" t="s">
        <v>35</v>
      </c>
      <c r="L17" s="164">
        <f>IF(CostSummary!H15=0,0,(CostSummary!H15-Base!G17-Base!H17))</f>
        <v>0</v>
      </c>
      <c r="M17" s="138"/>
    </row>
    <row r="18" spans="1:13" ht="12.75" hidden="1">
      <c r="A18" s="36" t="s">
        <v>25</v>
      </c>
      <c r="F18" s="28" t="s">
        <v>36</v>
      </c>
      <c r="G18" s="71">
        <v>0.25</v>
      </c>
      <c r="H18">
        <f>1/(1-G18)</f>
        <v>1.3333333333333333</v>
      </c>
      <c r="K18" s="26" t="s">
        <v>56</v>
      </c>
      <c r="L18" s="162">
        <f>SUM(L11:M17)</f>
        <v>1968.9999999999998</v>
      </c>
      <c r="M18" s="163"/>
    </row>
    <row r="19" spans="1:13" ht="12.75" hidden="1">
      <c r="A19" s="35" t="s">
        <v>26</v>
      </c>
      <c r="B19" s="37" t="s">
        <v>28</v>
      </c>
      <c r="I19" s="2"/>
      <c r="J19" s="2"/>
      <c r="K19" s="15" t="s">
        <v>57</v>
      </c>
      <c r="L19" s="165">
        <f>CostSummary!D18+CostSummary!D19*CostSummary!C3</f>
        <v>6521.5</v>
      </c>
      <c r="M19" s="165"/>
    </row>
    <row r="20" spans="1:13" ht="12.75" hidden="1">
      <c r="A20" s="35" t="s">
        <v>27</v>
      </c>
      <c r="B20" s="37" t="s">
        <v>29</v>
      </c>
      <c r="K20" t="s">
        <v>36</v>
      </c>
      <c r="L20" s="166">
        <f>L18/L19</f>
        <v>0.30192440389480946</v>
      </c>
      <c r="M20" s="166"/>
    </row>
    <row r="21" spans="9:13" ht="12.75" hidden="1">
      <c r="I21" s="92" t="s">
        <v>58</v>
      </c>
      <c r="J21" s="19"/>
      <c r="K21" s="19"/>
      <c r="L21" s="19"/>
      <c r="M21" s="22"/>
    </row>
    <row r="22" spans="9:13" ht="12.75" hidden="1">
      <c r="I22" s="87"/>
      <c r="J22" s="8"/>
      <c r="K22" s="88" t="s">
        <v>56</v>
      </c>
      <c r="L22" s="167">
        <f>L18/term*12</f>
        <v>1968.9999999999998</v>
      </c>
      <c r="M22" s="168"/>
    </row>
    <row r="23" spans="9:13" ht="12.75" hidden="1">
      <c r="I23" s="89"/>
      <c r="J23" s="90"/>
      <c r="K23" s="91" t="s">
        <v>57</v>
      </c>
      <c r="L23" s="169">
        <f>L19/term*12</f>
        <v>6521.5</v>
      </c>
      <c r="M23" s="170"/>
    </row>
    <row r="24" ht="12.75" hidden="1"/>
  </sheetData>
  <sheetProtection password="CCA6" sheet="1" objects="1" scenarios="1"/>
  <mergeCells count="13">
    <mergeCell ref="L19:M19"/>
    <mergeCell ref="L20:M20"/>
    <mergeCell ref="L22:M22"/>
    <mergeCell ref="L23:M23"/>
    <mergeCell ref="L10:M10"/>
    <mergeCell ref="L11:M11"/>
    <mergeCell ref="L12:M12"/>
    <mergeCell ref="L13:M13"/>
    <mergeCell ref="L18:M18"/>
    <mergeCell ref="L14:M14"/>
    <mergeCell ref="L15:M15"/>
    <mergeCell ref="L16:M16"/>
    <mergeCell ref="L17:M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Ulric Holdings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Burley</dc:creator>
  <cp:keywords/>
  <dc:description/>
  <cp:lastModifiedBy>rburley</cp:lastModifiedBy>
  <cp:lastPrinted>2005-06-02T00:39:20Z</cp:lastPrinted>
  <dcterms:created xsi:type="dcterms:W3CDTF">2005-05-05T06:46:15Z</dcterms:created>
  <dcterms:modified xsi:type="dcterms:W3CDTF">2005-07-27T01:55:20Z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